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ЭтаКнига" defaultThemeVersion="124226"/>
  <bookViews>
    <workbookView xWindow="276" yWindow="-228" windowWidth="12336" windowHeight="12900"/>
  </bookViews>
  <sheets>
    <sheet name="План и исполнение" sheetId="2" r:id="rId1"/>
    <sheet name="Прочая  субсидия_МР  и  ГО" sheetId="3" r:id="rId2"/>
    <sheet name="Прочая  субсидия_БП" sheetId="4" r:id="rId3"/>
    <sheet name="Субвенция  на  полномочия" sheetId="5" r:id="rId4"/>
    <sheet name="Район  и  поселения" sheetId="1" r:id="rId5"/>
    <sheet name="Федеральные  средства  по  МО" sheetId="6" r:id="rId6"/>
    <sheet name="Федеральные  средства" sheetId="7" r:id="rId7"/>
    <sheet name="МБТ  по  программам" sheetId="13" r:id="rId8"/>
    <sheet name="МБТ  по  видам  расходов" sheetId="15" r:id="rId9"/>
    <sheet name="Нераспределенная  дотация" sheetId="9" r:id="rId10"/>
    <sheet name="Субсидия" sheetId="8" r:id="rId11"/>
    <sheet name="Нераспределенные  иные  МБТ" sheetId="11" r:id="rId12"/>
    <sheet name="субсидия  ВР 522" sheetId="16" r:id="rId13"/>
    <sheet name="Федеральная  субсидия" sheetId="17" r:id="rId14"/>
  </sheets>
  <externalReferences>
    <externalReference r:id="rId15"/>
    <externalReference r:id="rId16"/>
    <externalReference r:id="rId17"/>
    <externalReference r:id="rId18"/>
  </externalReferences>
  <definedNames>
    <definedName name="_xlnm.Print_Titles" localSheetId="11">'Нераспределенные  иные  МБТ'!$7:$7</definedName>
    <definedName name="_xlnm.Print_Titles" localSheetId="0">'План и исполнение'!$A:$A</definedName>
    <definedName name="_xlnm.Print_Titles" localSheetId="2">'Прочая  субсидия_БП'!$A:$A</definedName>
    <definedName name="_xlnm.Print_Titles" localSheetId="1">'Прочая  субсидия_МР  и  ГО'!$A:$A</definedName>
    <definedName name="_xlnm.Print_Titles" localSheetId="4">'Район  и  поселения'!$A:$A</definedName>
    <definedName name="_xlnm.Print_Titles" localSheetId="3">'Субвенция  на  полномочия'!$A:$A</definedName>
    <definedName name="_xlnm.Print_Titles" localSheetId="10">Субсидия!$7:$7</definedName>
    <definedName name="_xlnm.Print_Titles" localSheetId="12">'субсидия  ВР 522'!$5:$5</definedName>
    <definedName name="_xlnm.Print_Titles" localSheetId="13">'Федеральная  субсидия'!$A:$A</definedName>
    <definedName name="_xlnm.Print_Titles" localSheetId="6">'Федеральные  средства'!$6:$6</definedName>
    <definedName name="_xlnm.Print_Titles" localSheetId="5">'Федеральные  средства  по  МО'!$A:$A</definedName>
    <definedName name="_xlnm.Print_Area" localSheetId="8">'МБТ  по  видам  расходов'!$A$1:$E$27</definedName>
    <definedName name="_xlnm.Print_Area" localSheetId="7">'МБТ  по  программам'!$A$1:$I$21</definedName>
    <definedName name="_xlnm.Print_Area" localSheetId="11">'Нераспределенные  иные  МБТ'!$A$1:$G$55</definedName>
    <definedName name="_xlnm.Print_Area" localSheetId="0">'План и исполнение'!$A$1:$WL$39</definedName>
    <definedName name="_xlnm.Print_Area" localSheetId="2">'Прочая  субсидия_БП'!$A$1:$CM$26</definedName>
    <definedName name="_xlnm.Print_Area" localSheetId="1">'Прочая  субсидия_МР  и  ГО'!$A$1:$BE$38</definedName>
    <definedName name="_xlnm.Print_Area" localSheetId="4">'Район  и  поселения'!$A$1:$BI$36</definedName>
    <definedName name="_xlnm.Print_Area" localSheetId="3">'Субвенция  на  полномочия'!$A$1:$AM$32</definedName>
    <definedName name="_xlnm.Print_Area" localSheetId="10">Субсидия!$A$1:$G$505</definedName>
    <definedName name="_xlnm.Print_Area" localSheetId="13">'Федеральная  субсидия'!$A$1:$JP$37</definedName>
    <definedName name="_xlnm.Print_Area" localSheetId="5">'Федеральные  средства  по  МО'!$A$1:$DA$39</definedName>
  </definedNames>
  <calcPr calcId="145621"/>
</workbook>
</file>

<file path=xl/calcChain.xml><?xml version="1.0" encoding="utf-8"?>
<calcChain xmlns="http://schemas.openxmlformats.org/spreadsheetml/2006/main">
  <c r="D18" i="8" l="1"/>
  <c r="RF33" i="2" l="1"/>
  <c r="RF32" i="2"/>
  <c r="RF13" i="2"/>
  <c r="RF14" i="2"/>
  <c r="RF15" i="2"/>
  <c r="RF16" i="2"/>
  <c r="RF17" i="2"/>
  <c r="RF18" i="2"/>
  <c r="RF19" i="2"/>
  <c r="RF20" i="2"/>
  <c r="RF21" i="2"/>
  <c r="RF22" i="2"/>
  <c r="RF23" i="2"/>
  <c r="RF24" i="2"/>
  <c r="RF25" i="2"/>
  <c r="RF26" i="2"/>
  <c r="RF27" i="2"/>
  <c r="RF28" i="2"/>
  <c r="RF29" i="2"/>
  <c r="RF12" i="2"/>
  <c r="W13" i="3"/>
  <c r="VW32" i="2" l="1"/>
  <c r="VZ27" i="2"/>
  <c r="VY17" i="2"/>
  <c r="WG20" i="2"/>
  <c r="TD33" i="2" l="1"/>
  <c r="C8" i="9" l="1"/>
  <c r="CI32" i="6" l="1"/>
  <c r="CI31" i="6"/>
  <c r="CI12" i="6"/>
  <c r="CI13" i="6"/>
  <c r="CI14" i="6"/>
  <c r="CI15" i="6"/>
  <c r="CI16" i="6"/>
  <c r="CI17" i="6"/>
  <c r="CI18" i="6"/>
  <c r="CI19" i="6"/>
  <c r="CI20" i="6"/>
  <c r="CI21" i="6"/>
  <c r="CI22" i="6"/>
  <c r="CI23" i="6"/>
  <c r="CI24" i="6"/>
  <c r="CI25" i="6"/>
  <c r="CI26" i="6"/>
  <c r="CI27" i="6"/>
  <c r="CI28" i="6"/>
  <c r="CI11" i="6"/>
  <c r="CI33" i="6"/>
  <c r="SE34" i="2"/>
  <c r="SE37" i="2" s="1"/>
  <c r="C48" i="7" s="1"/>
  <c r="SE30" i="2"/>
  <c r="SA33" i="2"/>
  <c r="CH32" i="6" s="1"/>
  <c r="SA32" i="2"/>
  <c r="CH31" i="6" s="1"/>
  <c r="SA13" i="2"/>
  <c r="CH12" i="6" s="1"/>
  <c r="SA14" i="2"/>
  <c r="CH13" i="6" s="1"/>
  <c r="SA15" i="2"/>
  <c r="CH14" i="6" s="1"/>
  <c r="SA16" i="2"/>
  <c r="CH15" i="6" s="1"/>
  <c r="SA17" i="2"/>
  <c r="CH16" i="6" s="1"/>
  <c r="SA18" i="2"/>
  <c r="CH17" i="6" s="1"/>
  <c r="SA19" i="2"/>
  <c r="CH18" i="6" s="1"/>
  <c r="SA20" i="2"/>
  <c r="CH19" i="6" s="1"/>
  <c r="SA21" i="2"/>
  <c r="CH20" i="6" s="1"/>
  <c r="SA22" i="2"/>
  <c r="CH21" i="6" s="1"/>
  <c r="SA23" i="2"/>
  <c r="CH22" i="6" s="1"/>
  <c r="SA24" i="2"/>
  <c r="CH23" i="6" s="1"/>
  <c r="SA25" i="2"/>
  <c r="CH24" i="6" s="1"/>
  <c r="SA26" i="2"/>
  <c r="CH25" i="6" s="1"/>
  <c r="SA27" i="2"/>
  <c r="CH26" i="6" s="1"/>
  <c r="SA28" i="2"/>
  <c r="CH27" i="6" s="1"/>
  <c r="SA29" i="2"/>
  <c r="CH28" i="6" s="1"/>
  <c r="SA12" i="2"/>
  <c r="CI29" i="6" l="1"/>
  <c r="CI36" i="6" s="1"/>
  <c r="SA30" i="2"/>
  <c r="CH11" i="6"/>
  <c r="CH29" i="6" s="1"/>
  <c r="CH33" i="6"/>
  <c r="SA34" i="2"/>
  <c r="MY33" i="2"/>
  <c r="MY32" i="2"/>
  <c r="MY29" i="2"/>
  <c r="MY28" i="2"/>
  <c r="MY24" i="2"/>
  <c r="MY21" i="2"/>
  <c r="MY20" i="2"/>
  <c r="MY19" i="2"/>
  <c r="MY18" i="2"/>
  <c r="MY17" i="2"/>
  <c r="MQ33" i="2"/>
  <c r="MQ13" i="2"/>
  <c r="MQ14" i="2"/>
  <c r="MQ15" i="2"/>
  <c r="MQ16" i="2"/>
  <c r="MQ17" i="2"/>
  <c r="MQ18" i="2"/>
  <c r="MQ19" i="2"/>
  <c r="MQ20" i="2"/>
  <c r="MQ21" i="2"/>
  <c r="MQ22" i="2"/>
  <c r="MQ23" i="2"/>
  <c r="MQ24" i="2"/>
  <c r="MQ25" i="2"/>
  <c r="MQ26" i="2"/>
  <c r="MQ27" i="2"/>
  <c r="MQ28" i="2"/>
  <c r="MQ29" i="2"/>
  <c r="MQ12" i="2"/>
  <c r="SA37" i="2" l="1"/>
  <c r="B48" i="7" s="1"/>
  <c r="CH36" i="6"/>
  <c r="MY34" i="2"/>
  <c r="OI26" i="2"/>
  <c r="OI18" i="2"/>
  <c r="UZ40" i="2" l="1"/>
  <c r="WE32" i="2"/>
  <c r="WE23" i="2"/>
  <c r="WG18" i="2"/>
  <c r="D299" i="8" l="1"/>
  <c r="D303" i="8"/>
  <c r="OG40" i="2" l="1"/>
  <c r="QP33" i="2"/>
  <c r="QP32" i="2"/>
  <c r="QP34" i="2" s="1"/>
  <c r="QP29" i="2"/>
  <c r="QP28" i="2"/>
  <c r="QP27" i="2"/>
  <c r="QP26" i="2"/>
  <c r="QP25" i="2"/>
  <c r="QP24" i="2"/>
  <c r="QP23" i="2"/>
  <c r="QP22" i="2"/>
  <c r="QP21" i="2"/>
  <c r="QP20" i="2"/>
  <c r="QP19" i="2"/>
  <c r="QP18" i="2"/>
  <c r="QP17" i="2"/>
  <c r="QP16" i="2"/>
  <c r="QP15" i="2"/>
  <c r="QP14" i="2"/>
  <c r="QP13" i="2"/>
  <c r="QP12" i="2"/>
  <c r="QM33" i="2"/>
  <c r="QM32" i="2"/>
  <c r="QM34" i="2" s="1"/>
  <c r="QJ33" i="2"/>
  <c r="QJ32" i="2"/>
  <c r="QG33" i="2"/>
  <c r="QG32" i="2"/>
  <c r="QG34" i="2" s="1"/>
  <c r="QD33" i="2"/>
  <c r="QD32" i="2"/>
  <c r="QD29" i="2"/>
  <c r="QD28" i="2"/>
  <c r="QD27" i="2"/>
  <c r="QD26" i="2"/>
  <c r="QD25" i="2"/>
  <c r="QD24" i="2"/>
  <c r="QD23" i="2"/>
  <c r="QD22" i="2"/>
  <c r="QD21" i="2"/>
  <c r="QD20" i="2"/>
  <c r="QD19" i="2"/>
  <c r="QD18" i="2"/>
  <c r="QD17" i="2"/>
  <c r="QD16" i="2"/>
  <c r="QD15" i="2"/>
  <c r="QD14" i="2"/>
  <c r="QD13" i="2"/>
  <c r="QD12" i="2"/>
  <c r="QA33" i="2"/>
  <c r="QA34" i="2" s="1"/>
  <c r="QA32" i="2"/>
  <c r="NY34" i="2"/>
  <c r="OF34" i="2"/>
  <c r="OF29" i="2"/>
  <c r="OF28" i="2"/>
  <c r="OF27" i="2"/>
  <c r="OF26" i="2"/>
  <c r="OF25" i="2"/>
  <c r="OF24" i="2"/>
  <c r="OF23" i="2"/>
  <c r="OF22" i="2"/>
  <c r="OF21" i="2"/>
  <c r="OF20" i="2"/>
  <c r="OF19" i="2"/>
  <c r="OF18" i="2"/>
  <c r="OF17" i="2"/>
  <c r="OF16" i="2"/>
  <c r="OF15" i="2"/>
  <c r="OF14" i="2"/>
  <c r="OF13" i="2"/>
  <c r="OF12" i="2"/>
  <c r="OM34" i="2"/>
  <c r="OT34" i="2"/>
  <c r="PA34" i="2"/>
  <c r="PH13" i="2"/>
  <c r="PH14" i="2"/>
  <c r="PH15" i="2"/>
  <c r="PH16" i="2"/>
  <c r="PH17" i="2"/>
  <c r="PH18" i="2"/>
  <c r="PH19" i="2"/>
  <c r="PH20" i="2"/>
  <c r="PH21" i="2"/>
  <c r="PH22" i="2"/>
  <c r="PH23" i="2"/>
  <c r="PH24" i="2"/>
  <c r="PH25" i="2"/>
  <c r="PH26" i="2"/>
  <c r="PH27" i="2"/>
  <c r="PH28" i="2"/>
  <c r="PH29" i="2"/>
  <c r="PH12" i="2"/>
  <c r="NV29" i="2"/>
  <c r="NV28" i="2"/>
  <c r="NV27" i="2"/>
  <c r="NV26" i="2"/>
  <c r="NV25" i="2"/>
  <c r="NV24" i="2"/>
  <c r="NV23" i="2"/>
  <c r="NV22" i="2"/>
  <c r="NV21" i="2"/>
  <c r="NV20" i="2"/>
  <c r="NV19" i="2"/>
  <c r="NV18" i="2"/>
  <c r="NV17" i="2"/>
  <c r="NV16" i="2"/>
  <c r="NV15" i="2"/>
  <c r="NV14" i="2"/>
  <c r="NV13" i="2"/>
  <c r="NV12" i="2"/>
  <c r="NV34" i="2"/>
  <c r="NS34" i="2"/>
  <c r="PH34" i="2"/>
  <c r="QD34" i="2" l="1"/>
  <c r="QJ34" i="2"/>
  <c r="QP30" i="2"/>
  <c r="QP37" i="2" s="1"/>
  <c r="QD30" i="2"/>
  <c r="QD37" i="2" s="1"/>
  <c r="OF30" i="2"/>
  <c r="OF37" i="2" s="1"/>
  <c r="NV30" i="2"/>
  <c r="NV37" i="2" s="1"/>
  <c r="PH30" i="2"/>
  <c r="PH37" i="2" s="1"/>
  <c r="CW32" i="6" l="1"/>
  <c r="CW31" i="6"/>
  <c r="CW12" i="6"/>
  <c r="CW13" i="6"/>
  <c r="CW14" i="6"/>
  <c r="CW15" i="6"/>
  <c r="CW16" i="6"/>
  <c r="CW17" i="6"/>
  <c r="CW18" i="6"/>
  <c r="CW19" i="6"/>
  <c r="CW20" i="6"/>
  <c r="CW21" i="6"/>
  <c r="CW22" i="6"/>
  <c r="CW23" i="6"/>
  <c r="CW24" i="6"/>
  <c r="CW25" i="6"/>
  <c r="CW26" i="6"/>
  <c r="CW27" i="6"/>
  <c r="CW28" i="6"/>
  <c r="CW11" i="6"/>
  <c r="UA33" i="2"/>
  <c r="CV32" i="6" s="1"/>
  <c r="UA32" i="2"/>
  <c r="CV31" i="6" s="1"/>
  <c r="TZ33" i="2"/>
  <c r="TZ32" i="2"/>
  <c r="UB33" i="2"/>
  <c r="UB32" i="2"/>
  <c r="UB29" i="2"/>
  <c r="UB28" i="2"/>
  <c r="UB27" i="2"/>
  <c r="UB26" i="2"/>
  <c r="UB25" i="2"/>
  <c r="UB24" i="2"/>
  <c r="UB23" i="2"/>
  <c r="UB22" i="2"/>
  <c r="UB21" i="2"/>
  <c r="UB20" i="2"/>
  <c r="UB19" i="2"/>
  <c r="UB18" i="2"/>
  <c r="UB17" i="2"/>
  <c r="UB16" i="2"/>
  <c r="UB15" i="2"/>
  <c r="UB14" i="2"/>
  <c r="UB13" i="2"/>
  <c r="UB12" i="2"/>
  <c r="TY29" i="2"/>
  <c r="TY28" i="2"/>
  <c r="TY27" i="2"/>
  <c r="TY26" i="2"/>
  <c r="TY25" i="2"/>
  <c r="TY24" i="2"/>
  <c r="TY23" i="2"/>
  <c r="TY22" i="2"/>
  <c r="TY21" i="2"/>
  <c r="TY20" i="2"/>
  <c r="TY19" i="2"/>
  <c r="TY18" i="2"/>
  <c r="TY17" i="2"/>
  <c r="TY16" i="2"/>
  <c r="TY15" i="2"/>
  <c r="TY14" i="2"/>
  <c r="TY13" i="2"/>
  <c r="TY12" i="2"/>
  <c r="UD34" i="2"/>
  <c r="UC34" i="2"/>
  <c r="UD30" i="2"/>
  <c r="UC30" i="2"/>
  <c r="UC37" i="2" s="1"/>
  <c r="UA30" i="2"/>
  <c r="TZ30" i="2"/>
  <c r="D80" i="8"/>
  <c r="D48" i="8"/>
  <c r="D332" i="8"/>
  <c r="UD37" i="2" l="1"/>
  <c r="UB34" i="2"/>
  <c r="TY33" i="2"/>
  <c r="TY32" i="2"/>
  <c r="TZ34" i="2"/>
  <c r="TZ37" i="2" s="1"/>
  <c r="UA34" i="2"/>
  <c r="UA37" i="2" s="1"/>
  <c r="TY30" i="2"/>
  <c r="UB30" i="2"/>
  <c r="BK30" i="1"/>
  <c r="BL30" i="1"/>
  <c r="BM30" i="1"/>
  <c r="BN30" i="1"/>
  <c r="BM31" i="1"/>
  <c r="BN31" i="1"/>
  <c r="BM32" i="1"/>
  <c r="BN32" i="1"/>
  <c r="BK34" i="1"/>
  <c r="BL34" i="1"/>
  <c r="BM34" i="1"/>
  <c r="BN34" i="1"/>
  <c r="BK35" i="1"/>
  <c r="BL35" i="1"/>
  <c r="BM35" i="1"/>
  <c r="BN35" i="1"/>
  <c r="CM25" i="4"/>
  <c r="UB37" i="2" l="1"/>
  <c r="TY34" i="2"/>
  <c r="TY37" i="2" s="1"/>
  <c r="T31" i="17"/>
  <c r="I31" i="17" s="1"/>
  <c r="S31" i="17"/>
  <c r="H31" i="17" s="1"/>
  <c r="P31" i="17"/>
  <c r="E31" i="17" s="1"/>
  <c r="O31" i="17"/>
  <c r="D31" i="17" s="1"/>
  <c r="T30" i="17"/>
  <c r="I30" i="17" s="1"/>
  <c r="S30" i="17"/>
  <c r="H30" i="17" s="1"/>
  <c r="P30" i="17"/>
  <c r="E30" i="17" s="1"/>
  <c r="O30" i="17"/>
  <c r="D30" i="17" s="1"/>
  <c r="AB32" i="17"/>
  <c r="AA32" i="17"/>
  <c r="X32" i="17"/>
  <c r="W32" i="17"/>
  <c r="AB28" i="17"/>
  <c r="AB35" i="17" s="1"/>
  <c r="AA28" i="17"/>
  <c r="X28" i="17"/>
  <c r="X35" i="17" s="1"/>
  <c r="W28" i="17"/>
  <c r="EZ32" i="17"/>
  <c r="EY32" i="17"/>
  <c r="EV32" i="17"/>
  <c r="EU32" i="17"/>
  <c r="EZ28" i="17"/>
  <c r="EZ35" i="17" s="1"/>
  <c r="EY28" i="17"/>
  <c r="EY35" i="17" s="1"/>
  <c r="EV28" i="17"/>
  <c r="EV35" i="17" s="1"/>
  <c r="EU28" i="17"/>
  <c r="EU35" i="17" s="1"/>
  <c r="W35" i="17" l="1"/>
  <c r="AA35" i="17"/>
  <c r="E109" i="8" l="1"/>
  <c r="F109" i="8"/>
  <c r="JY40" i="2"/>
  <c r="JW40" i="2"/>
  <c r="CZ33" i="2"/>
  <c r="CZ32" i="2"/>
  <c r="DF27" i="2"/>
  <c r="DB27" i="2"/>
  <c r="DF22" i="2"/>
  <c r="CZ18" i="2"/>
  <c r="DB14" i="2"/>
  <c r="DB13" i="2"/>
  <c r="CR33" i="2"/>
  <c r="CR32" i="2"/>
  <c r="CX27" i="2"/>
  <c r="CT22" i="2"/>
  <c r="CR18" i="2"/>
  <c r="CT14" i="2"/>
  <c r="CX13" i="2"/>
  <c r="CX22" i="2" l="1"/>
  <c r="DF13" i="2"/>
  <c r="DK40" i="2"/>
  <c r="DY40" i="2"/>
  <c r="DW40" i="2"/>
  <c r="EG40" i="2"/>
  <c r="EQ40" i="2"/>
  <c r="EO40" i="2"/>
  <c r="IQ40" i="2"/>
  <c r="IK40" i="2"/>
  <c r="IE40" i="2"/>
  <c r="GM40" i="2"/>
  <c r="GF42" i="2"/>
  <c r="GE40" i="2"/>
  <c r="GE42" i="2" s="1"/>
  <c r="EW40" i="2"/>
  <c r="FC40" i="2"/>
  <c r="FO40" i="2"/>
  <c r="MR40" i="2" l="1"/>
  <c r="NP13" i="2"/>
  <c r="NQ13" i="2"/>
  <c r="NP14" i="2"/>
  <c r="NQ14" i="2"/>
  <c r="NP15" i="2"/>
  <c r="NQ15" i="2"/>
  <c r="NP16" i="2"/>
  <c r="NQ16" i="2"/>
  <c r="NP17" i="2"/>
  <c r="NQ17" i="2"/>
  <c r="NP18" i="2"/>
  <c r="NQ18" i="2"/>
  <c r="NP19" i="2"/>
  <c r="NQ19" i="2"/>
  <c r="NP20" i="2"/>
  <c r="NQ20" i="2"/>
  <c r="NP21" i="2"/>
  <c r="NQ21" i="2"/>
  <c r="NP22" i="2"/>
  <c r="NQ22" i="2"/>
  <c r="NP23" i="2"/>
  <c r="NQ23" i="2"/>
  <c r="NP24" i="2"/>
  <c r="NQ24" i="2"/>
  <c r="NP25" i="2"/>
  <c r="NQ25" i="2"/>
  <c r="NP26" i="2"/>
  <c r="NQ26" i="2"/>
  <c r="NP27" i="2"/>
  <c r="NQ27" i="2"/>
  <c r="NP28" i="2"/>
  <c r="NQ28" i="2"/>
  <c r="NP29" i="2"/>
  <c r="NQ29" i="2"/>
  <c r="NQ12" i="2"/>
  <c r="NP12" i="2"/>
  <c r="OI40" i="2"/>
  <c r="NW40" i="2" l="1"/>
  <c r="CM23" i="4" l="1"/>
  <c r="UY40" i="2" l="1"/>
  <c r="US40" i="2"/>
  <c r="WE29" i="2" l="1"/>
  <c r="WK22" i="2"/>
  <c r="WG22" i="2"/>
  <c r="WG15" i="2"/>
  <c r="WH27" i="2"/>
  <c r="D21" i="11" l="1"/>
  <c r="VE33" i="2"/>
  <c r="VE32" i="2"/>
  <c r="VE29" i="2"/>
  <c r="VE28" i="2"/>
  <c r="VE27" i="2"/>
  <c r="VE26" i="2"/>
  <c r="VE25" i="2"/>
  <c r="VE24" i="2"/>
  <c r="VE23" i="2"/>
  <c r="VE22" i="2"/>
  <c r="VE21" i="2"/>
  <c r="VE20" i="2"/>
  <c r="VE19" i="2"/>
  <c r="VE18" i="2"/>
  <c r="VE17" i="2"/>
  <c r="VE16" i="2"/>
  <c r="VE15" i="2"/>
  <c r="VE14" i="2"/>
  <c r="VE13" i="2"/>
  <c r="VE12" i="2"/>
  <c r="VE30" i="2" s="1"/>
  <c r="VJ30" i="2"/>
  <c r="VJ34" i="2"/>
  <c r="VL30" i="2"/>
  <c r="VL34" i="2"/>
  <c r="VE34" i="2" l="1"/>
  <c r="VL37" i="2"/>
  <c r="VL42" i="2" s="1"/>
  <c r="VJ37" i="2"/>
  <c r="D347" i="8" l="1"/>
  <c r="D344" i="8"/>
  <c r="D483" i="8"/>
  <c r="D488" i="8"/>
  <c r="D302" i="8"/>
  <c r="D306" i="8"/>
  <c r="D272" i="8"/>
  <c r="D276" i="8" l="1"/>
  <c r="D215" i="8"/>
  <c r="D219" i="8"/>
  <c r="D60" i="8" l="1"/>
  <c r="D57" i="8"/>
  <c r="D192" i="8"/>
  <c r="AM32" i="6"/>
  <c r="EW31" i="17" s="1"/>
  <c r="EX31" i="17" s="1"/>
  <c r="AM31" i="6"/>
  <c r="AM12" i="6"/>
  <c r="EW11" i="17" s="1"/>
  <c r="EX11" i="17" s="1"/>
  <c r="AM13" i="6"/>
  <c r="EW12" i="17" s="1"/>
  <c r="EX12" i="17" s="1"/>
  <c r="AM14" i="6"/>
  <c r="EW13" i="17" s="1"/>
  <c r="EX13" i="17" s="1"/>
  <c r="AM15" i="6"/>
  <c r="EW14" i="17" s="1"/>
  <c r="EX14" i="17" s="1"/>
  <c r="AM16" i="6"/>
  <c r="EW15" i="17" s="1"/>
  <c r="EX15" i="17" s="1"/>
  <c r="AM17" i="6"/>
  <c r="EW16" i="17" s="1"/>
  <c r="EX16" i="17" s="1"/>
  <c r="AM18" i="6"/>
  <c r="EW17" i="17" s="1"/>
  <c r="EX17" i="17" s="1"/>
  <c r="AM19" i="6"/>
  <c r="EW18" i="17" s="1"/>
  <c r="EX18" i="17" s="1"/>
  <c r="AM20" i="6"/>
  <c r="EW19" i="17" s="1"/>
  <c r="EX19" i="17" s="1"/>
  <c r="AM21" i="6"/>
  <c r="EW20" i="17" s="1"/>
  <c r="EX20" i="17" s="1"/>
  <c r="AM22" i="6"/>
  <c r="EW21" i="17" s="1"/>
  <c r="EX21" i="17" s="1"/>
  <c r="AM23" i="6"/>
  <c r="EW22" i="17" s="1"/>
  <c r="EX22" i="17" s="1"/>
  <c r="AM24" i="6"/>
  <c r="EW23" i="17" s="1"/>
  <c r="EX23" i="17" s="1"/>
  <c r="AM25" i="6"/>
  <c r="EW24" i="17" s="1"/>
  <c r="EX24" i="17" s="1"/>
  <c r="AM26" i="6"/>
  <c r="EW25" i="17" s="1"/>
  <c r="EX25" i="17" s="1"/>
  <c r="AM27" i="6"/>
  <c r="EW26" i="17" s="1"/>
  <c r="EX26" i="17" s="1"/>
  <c r="AM28" i="6"/>
  <c r="EW27" i="17" s="1"/>
  <c r="EX27" i="17" s="1"/>
  <c r="AM11" i="6"/>
  <c r="EW10" i="17" s="1"/>
  <c r="IC33" i="2"/>
  <c r="AL32" i="6" s="1"/>
  <c r="ES31" i="17" s="1"/>
  <c r="ET31" i="17" s="1"/>
  <c r="IB33" i="2"/>
  <c r="IC32" i="2"/>
  <c r="AL31" i="6" s="1"/>
  <c r="ES30" i="17" s="1"/>
  <c r="IB32" i="2"/>
  <c r="IB13" i="2"/>
  <c r="IC13" i="2"/>
  <c r="IB14" i="2"/>
  <c r="IC14" i="2"/>
  <c r="AL13" i="6" s="1"/>
  <c r="ES12" i="17" s="1"/>
  <c r="ET12" i="17" s="1"/>
  <c r="IB15" i="2"/>
  <c r="IC15" i="2"/>
  <c r="IB16" i="2"/>
  <c r="IC16" i="2"/>
  <c r="AL15" i="6" s="1"/>
  <c r="ES14" i="17" s="1"/>
  <c r="ET14" i="17" s="1"/>
  <c r="IB17" i="2"/>
  <c r="IC17" i="2"/>
  <c r="IB18" i="2"/>
  <c r="IC18" i="2"/>
  <c r="AL17" i="6" s="1"/>
  <c r="ES16" i="17" s="1"/>
  <c r="ET16" i="17" s="1"/>
  <c r="IB19" i="2"/>
  <c r="IC19" i="2"/>
  <c r="IB20" i="2"/>
  <c r="IC20" i="2"/>
  <c r="AL19" i="6" s="1"/>
  <c r="ES18" i="17" s="1"/>
  <c r="ET18" i="17" s="1"/>
  <c r="IB21" i="2"/>
  <c r="IC21" i="2"/>
  <c r="IB22" i="2"/>
  <c r="IC22" i="2"/>
  <c r="AL21" i="6" s="1"/>
  <c r="ES20" i="17" s="1"/>
  <c r="ET20" i="17" s="1"/>
  <c r="IB23" i="2"/>
  <c r="IC23" i="2"/>
  <c r="IB24" i="2"/>
  <c r="IC24" i="2"/>
  <c r="AL23" i="6" s="1"/>
  <c r="ES22" i="17" s="1"/>
  <c r="ET22" i="17" s="1"/>
  <c r="IB25" i="2"/>
  <c r="IC25" i="2"/>
  <c r="IB26" i="2"/>
  <c r="IC26" i="2"/>
  <c r="AL25" i="6" s="1"/>
  <c r="ES24" i="17" s="1"/>
  <c r="ET24" i="17" s="1"/>
  <c r="IB27" i="2"/>
  <c r="IC27" i="2"/>
  <c r="IB28" i="2"/>
  <c r="IC28" i="2"/>
  <c r="AL27" i="6" s="1"/>
  <c r="ES26" i="17" s="1"/>
  <c r="ET26" i="17" s="1"/>
  <c r="IB29" i="2"/>
  <c r="IC29" i="2"/>
  <c r="IC12" i="2"/>
  <c r="AL11" i="6" s="1"/>
  <c r="ES10" i="17" s="1"/>
  <c r="IB12" i="2"/>
  <c r="IF34" i="2"/>
  <c r="IE34" i="2"/>
  <c r="ID33" i="2"/>
  <c r="ID32" i="2"/>
  <c r="IF30" i="2"/>
  <c r="IF37" i="2" s="1"/>
  <c r="IF42" i="2" s="1"/>
  <c r="IE30" i="2"/>
  <c r="IE37" i="2" s="1"/>
  <c r="IE42" i="2" s="1"/>
  <c r="ID29" i="2"/>
  <c r="ID28" i="2"/>
  <c r="ID27" i="2"/>
  <c r="ID26" i="2"/>
  <c r="ID25" i="2"/>
  <c r="ID24" i="2"/>
  <c r="ID23" i="2"/>
  <c r="ID22" i="2"/>
  <c r="ID21" i="2"/>
  <c r="ID20" i="2"/>
  <c r="ID19" i="2"/>
  <c r="ID18" i="2"/>
  <c r="ID17" i="2"/>
  <c r="ID16" i="2"/>
  <c r="ID15" i="2"/>
  <c r="ID14" i="2"/>
  <c r="ID13" i="2"/>
  <c r="ID12" i="2"/>
  <c r="D294" i="8"/>
  <c r="H304" i="8"/>
  <c r="I304" i="8"/>
  <c r="H300" i="8"/>
  <c r="I300" i="8"/>
  <c r="D296" i="8"/>
  <c r="AM33" i="6" l="1"/>
  <c r="EW30" i="17"/>
  <c r="EX10" i="17"/>
  <c r="EX28" i="17" s="1"/>
  <c r="EW28" i="17"/>
  <c r="ET10" i="17"/>
  <c r="ET30" i="17"/>
  <c r="ET32" i="17" s="1"/>
  <c r="ES32" i="17"/>
  <c r="ID34" i="2"/>
  <c r="ID30" i="2"/>
  <c r="C24" i="7"/>
  <c r="F299" i="8"/>
  <c r="F302" i="8" s="1"/>
  <c r="F303" i="8"/>
  <c r="F306" i="8" s="1"/>
  <c r="IA18" i="2"/>
  <c r="IA12" i="2"/>
  <c r="IC34" i="2"/>
  <c r="IA14" i="2"/>
  <c r="IA20" i="2"/>
  <c r="IA22" i="2"/>
  <c r="IA32" i="2"/>
  <c r="IA29" i="2"/>
  <c r="IA27" i="2"/>
  <c r="IA25" i="2"/>
  <c r="IA23" i="2"/>
  <c r="IA21" i="2"/>
  <c r="IA19" i="2"/>
  <c r="IA17" i="2"/>
  <c r="IA15" i="2"/>
  <c r="IA13" i="2"/>
  <c r="IA26" i="2"/>
  <c r="AL26" i="6"/>
  <c r="ES25" i="17" s="1"/>
  <c r="ET25" i="17" s="1"/>
  <c r="AL22" i="6"/>
  <c r="ES21" i="17" s="1"/>
  <c r="ET21" i="17" s="1"/>
  <c r="AL20" i="6"/>
  <c r="ES19" i="17" s="1"/>
  <c r="ET19" i="17" s="1"/>
  <c r="AL16" i="6"/>
  <c r="ES15" i="17" s="1"/>
  <c r="ET15" i="17" s="1"/>
  <c r="AL14" i="6"/>
  <c r="ES13" i="17" s="1"/>
  <c r="ET13" i="17" s="1"/>
  <c r="IA16" i="2"/>
  <c r="IA24" i="2"/>
  <c r="AL28" i="6"/>
  <c r="ES27" i="17" s="1"/>
  <c r="ET27" i="17" s="1"/>
  <c r="AL24" i="6"/>
  <c r="ES23" i="17" s="1"/>
  <c r="ET23" i="17" s="1"/>
  <c r="AL18" i="6"/>
  <c r="ES17" i="17" s="1"/>
  <c r="ET17" i="17" s="1"/>
  <c r="AL12" i="6"/>
  <c r="ES11" i="17" s="1"/>
  <c r="ET11" i="17" s="1"/>
  <c r="IA33" i="2"/>
  <c r="IC30" i="2"/>
  <c r="IA28" i="2"/>
  <c r="AM29" i="6"/>
  <c r="IB34" i="2"/>
  <c r="IB30" i="2"/>
  <c r="F296" i="8"/>
  <c r="J299" i="8"/>
  <c r="AM36" i="6" l="1"/>
  <c r="ID37" i="2"/>
  <c r="EX30" i="17"/>
  <c r="EX32" i="17" s="1"/>
  <c r="EX35" i="17" s="1"/>
  <c r="EW32" i="17"/>
  <c r="EW35" i="17" s="1"/>
  <c r="ES28" i="17"/>
  <c r="ES35" i="17" s="1"/>
  <c r="ET28" i="17"/>
  <c r="ET35" i="17" s="1"/>
  <c r="F294" i="8"/>
  <c r="IC37" i="2"/>
  <c r="E303" i="8" s="1"/>
  <c r="E306" i="8" s="1"/>
  <c r="H306" i="8" s="1"/>
  <c r="IA34" i="2"/>
  <c r="IA30" i="2"/>
  <c r="IB37" i="2"/>
  <c r="E299" i="8" s="1"/>
  <c r="E302" i="8" s="1"/>
  <c r="H302" i="8" s="1"/>
  <c r="EW36" i="17" l="1"/>
  <c r="ES36" i="17"/>
  <c r="B24" i="7"/>
  <c r="IA37" i="2"/>
  <c r="H303" i="8"/>
  <c r="G303" i="8"/>
  <c r="G299" i="8"/>
  <c r="G302" i="8" s="1"/>
  <c r="I302" i="8" s="1"/>
  <c r="H299" i="8"/>
  <c r="I303" i="8" l="1"/>
  <c r="G306" i="8"/>
  <c r="I306" i="8" s="1"/>
  <c r="I305" i="8"/>
  <c r="H305" i="8"/>
  <c r="I299" i="8"/>
  <c r="H301" i="8"/>
  <c r="I301" i="8" l="1"/>
  <c r="E32" i="17" l="1"/>
  <c r="D32" i="17" l="1"/>
  <c r="E157" i="8"/>
  <c r="F157" i="8"/>
  <c r="D157" i="8"/>
  <c r="AH11" i="17" l="1"/>
  <c r="AJ11" i="17"/>
  <c r="AH12" i="17"/>
  <c r="AJ12" i="17"/>
  <c r="AH13" i="17"/>
  <c r="AJ13" i="17"/>
  <c r="AH14" i="17"/>
  <c r="AJ14" i="17"/>
  <c r="AH15" i="17"/>
  <c r="AJ15" i="17"/>
  <c r="AH16" i="17"/>
  <c r="AJ16" i="17"/>
  <c r="AH17" i="17"/>
  <c r="AJ17" i="17"/>
  <c r="AH18" i="17"/>
  <c r="AJ18" i="17"/>
  <c r="AH19" i="17"/>
  <c r="AJ19" i="17"/>
  <c r="AH20" i="17"/>
  <c r="AJ20" i="17"/>
  <c r="AH21" i="17"/>
  <c r="AJ21" i="17"/>
  <c r="AH22" i="17"/>
  <c r="AJ22" i="17"/>
  <c r="AH23" i="17"/>
  <c r="AJ23" i="17"/>
  <c r="AH24" i="17"/>
  <c r="AJ24" i="17"/>
  <c r="AH25" i="17"/>
  <c r="AJ25" i="17"/>
  <c r="AH26" i="17"/>
  <c r="AJ26" i="17"/>
  <c r="AH27" i="17"/>
  <c r="AJ27" i="17"/>
  <c r="AJ10" i="17"/>
  <c r="AH10" i="17"/>
  <c r="DV11" i="17"/>
  <c r="DZ11" i="17"/>
  <c r="EB11" i="17"/>
  <c r="DV12" i="17"/>
  <c r="DZ12" i="17"/>
  <c r="EB12" i="17"/>
  <c r="DV13" i="17"/>
  <c r="DZ13" i="17"/>
  <c r="EB13" i="17"/>
  <c r="DV14" i="17"/>
  <c r="DZ14" i="17"/>
  <c r="EB14" i="17"/>
  <c r="DV15" i="17"/>
  <c r="DZ15" i="17"/>
  <c r="EB15" i="17"/>
  <c r="DV16" i="17"/>
  <c r="DZ16" i="17"/>
  <c r="EB16" i="17"/>
  <c r="DV17" i="17"/>
  <c r="DZ17" i="17"/>
  <c r="EB17" i="17"/>
  <c r="DV18" i="17"/>
  <c r="DZ18" i="17"/>
  <c r="EB18" i="17"/>
  <c r="DV19" i="17"/>
  <c r="DZ19" i="17"/>
  <c r="EB19" i="17"/>
  <c r="DV20" i="17"/>
  <c r="DZ20" i="17"/>
  <c r="EB20" i="17"/>
  <c r="DV21" i="17"/>
  <c r="DZ21" i="17"/>
  <c r="EB21" i="17"/>
  <c r="DV22" i="17"/>
  <c r="DZ22" i="17"/>
  <c r="EB22" i="17"/>
  <c r="DV23" i="17"/>
  <c r="DZ23" i="17"/>
  <c r="EB23" i="17"/>
  <c r="DV24" i="17"/>
  <c r="DZ24" i="17"/>
  <c r="EB24" i="17"/>
  <c r="DV25" i="17"/>
  <c r="DZ25" i="17"/>
  <c r="EB25" i="17"/>
  <c r="DV26" i="17"/>
  <c r="DZ26" i="17"/>
  <c r="EB26" i="17"/>
  <c r="DV27" i="17"/>
  <c r="DZ27" i="17"/>
  <c r="EB27" i="17"/>
  <c r="EB10" i="17"/>
  <c r="DZ10" i="17"/>
  <c r="DV10" i="17"/>
  <c r="FN11" i="17"/>
  <c r="FN12" i="17"/>
  <c r="FP12" i="17"/>
  <c r="FN13" i="17"/>
  <c r="FP13" i="17"/>
  <c r="FP14" i="17"/>
  <c r="FN15" i="17"/>
  <c r="FP15" i="17"/>
  <c r="FN16" i="17"/>
  <c r="FP16" i="17"/>
  <c r="FN17" i="17"/>
  <c r="FN18" i="17"/>
  <c r="FP18" i="17"/>
  <c r="FP19" i="17"/>
  <c r="FN20" i="17"/>
  <c r="FP20" i="17"/>
  <c r="FN21" i="17"/>
  <c r="FP21" i="17"/>
  <c r="FN22" i="17"/>
  <c r="FP22" i="17"/>
  <c r="FN23" i="17"/>
  <c r="FP23" i="17"/>
  <c r="FN24" i="17"/>
  <c r="FP24" i="17"/>
  <c r="FN25" i="17"/>
  <c r="FP25" i="17"/>
  <c r="FN26" i="17"/>
  <c r="FP26" i="17"/>
  <c r="FN27" i="17"/>
  <c r="FP10" i="17"/>
  <c r="FN10" i="17"/>
  <c r="PS40" i="2" l="1"/>
  <c r="JO40" i="2"/>
  <c r="D67" i="8" l="1"/>
  <c r="GD11" i="17" l="1"/>
  <c r="GD12" i="17"/>
  <c r="GD13" i="17"/>
  <c r="GD14" i="17"/>
  <c r="GD15" i="17"/>
  <c r="GD16" i="17"/>
  <c r="GD17" i="17"/>
  <c r="GD18" i="17"/>
  <c r="GD19" i="17"/>
  <c r="GD20" i="17"/>
  <c r="GD21" i="17"/>
  <c r="GD22" i="17"/>
  <c r="GD23" i="17"/>
  <c r="GD24" i="17"/>
  <c r="GD25" i="17"/>
  <c r="GD26" i="17"/>
  <c r="GD27" i="17"/>
  <c r="GD10" i="17"/>
  <c r="GF11" i="17"/>
  <c r="GF12" i="17"/>
  <c r="GF13" i="17"/>
  <c r="GF14" i="17"/>
  <c r="GF15" i="17"/>
  <c r="GF16" i="17"/>
  <c r="GF17" i="17"/>
  <c r="GF18" i="17"/>
  <c r="GF19" i="17"/>
  <c r="GF20" i="17"/>
  <c r="GF21" i="17"/>
  <c r="GF22" i="17"/>
  <c r="GF23" i="17"/>
  <c r="GF24" i="17"/>
  <c r="GF25" i="17"/>
  <c r="GF26" i="17"/>
  <c r="GF27" i="17"/>
  <c r="GF10" i="17"/>
  <c r="GN11" i="17"/>
  <c r="GN12" i="17"/>
  <c r="GN13" i="17"/>
  <c r="GN14" i="17"/>
  <c r="GN15" i="17"/>
  <c r="GN16" i="17"/>
  <c r="GN17" i="17"/>
  <c r="GN18" i="17"/>
  <c r="GN19" i="17"/>
  <c r="GN20" i="17"/>
  <c r="GN21" i="17"/>
  <c r="GN22" i="17"/>
  <c r="GN23" i="17"/>
  <c r="GN24" i="17"/>
  <c r="GN25" i="17"/>
  <c r="GN26" i="17"/>
  <c r="GN27" i="17"/>
  <c r="GN10" i="17"/>
  <c r="IB11" i="17"/>
  <c r="IB12" i="17"/>
  <c r="IB13" i="17"/>
  <c r="IB14" i="17"/>
  <c r="IB15" i="17"/>
  <c r="IB16" i="17"/>
  <c r="IB17" i="17"/>
  <c r="IB18" i="17"/>
  <c r="IB19" i="17"/>
  <c r="IB20" i="17"/>
  <c r="IB21" i="17"/>
  <c r="IB22" i="17"/>
  <c r="IB23" i="17"/>
  <c r="IB24" i="17"/>
  <c r="IB25" i="17"/>
  <c r="IB26" i="17"/>
  <c r="IB27" i="17"/>
  <c r="IB10" i="17"/>
  <c r="IJ11" i="17"/>
  <c r="IJ12" i="17"/>
  <c r="IJ13" i="17"/>
  <c r="IJ14" i="17"/>
  <c r="IJ15" i="17"/>
  <c r="IJ16" i="17"/>
  <c r="IJ17" i="17"/>
  <c r="IJ18" i="17"/>
  <c r="IJ19" i="17"/>
  <c r="IJ20" i="17"/>
  <c r="IJ21" i="17"/>
  <c r="IJ22" i="17"/>
  <c r="IJ23" i="17"/>
  <c r="IJ24" i="17"/>
  <c r="IJ25" i="17"/>
  <c r="IJ26" i="17"/>
  <c r="IJ27" i="17"/>
  <c r="IJ10" i="17"/>
  <c r="IZ11" i="17"/>
  <c r="JF11" i="17"/>
  <c r="JH11" i="17"/>
  <c r="JN11" i="17"/>
  <c r="JP11" i="17"/>
  <c r="IZ12" i="17"/>
  <c r="JF12" i="17"/>
  <c r="JH12" i="17"/>
  <c r="JN12" i="17"/>
  <c r="JP12" i="17"/>
  <c r="IZ13" i="17"/>
  <c r="JF13" i="17"/>
  <c r="JH13" i="17"/>
  <c r="JN13" i="17"/>
  <c r="JP13" i="17"/>
  <c r="IZ14" i="17"/>
  <c r="JF14" i="17"/>
  <c r="JH14" i="17"/>
  <c r="JN14" i="17"/>
  <c r="JP14" i="17"/>
  <c r="IZ15" i="17"/>
  <c r="JF15" i="17"/>
  <c r="JH15" i="17"/>
  <c r="JN15" i="17"/>
  <c r="JP15" i="17"/>
  <c r="IZ16" i="17"/>
  <c r="JF16" i="17"/>
  <c r="JH16" i="17"/>
  <c r="JN16" i="17"/>
  <c r="JP16" i="17"/>
  <c r="IZ17" i="17"/>
  <c r="JF17" i="17"/>
  <c r="JH17" i="17"/>
  <c r="JN17" i="17"/>
  <c r="JP17" i="17"/>
  <c r="IZ18" i="17"/>
  <c r="JF18" i="17"/>
  <c r="JH18" i="17"/>
  <c r="JN18" i="17"/>
  <c r="JP18" i="17"/>
  <c r="IZ19" i="17"/>
  <c r="JF19" i="17"/>
  <c r="JH19" i="17"/>
  <c r="JN19" i="17"/>
  <c r="JP19" i="17"/>
  <c r="IZ20" i="17"/>
  <c r="JF20" i="17"/>
  <c r="JH20" i="17"/>
  <c r="JN20" i="17"/>
  <c r="JP20" i="17"/>
  <c r="IZ21" i="17"/>
  <c r="JF21" i="17"/>
  <c r="JH21" i="17"/>
  <c r="JN21" i="17"/>
  <c r="JP21" i="17"/>
  <c r="IZ22" i="17"/>
  <c r="JF22" i="17"/>
  <c r="JH22" i="17"/>
  <c r="JN22" i="17"/>
  <c r="JP22" i="17"/>
  <c r="IZ23" i="17"/>
  <c r="JF23" i="17"/>
  <c r="JH23" i="17"/>
  <c r="JN23" i="17"/>
  <c r="JP23" i="17"/>
  <c r="IZ24" i="17"/>
  <c r="JF24" i="17"/>
  <c r="JH24" i="17"/>
  <c r="JN24" i="17"/>
  <c r="JP24" i="17"/>
  <c r="IZ25" i="17"/>
  <c r="JF25" i="17"/>
  <c r="JH25" i="17"/>
  <c r="JN25" i="17"/>
  <c r="JP25" i="17"/>
  <c r="IZ26" i="17"/>
  <c r="JF26" i="17"/>
  <c r="JH26" i="17"/>
  <c r="JN26" i="17"/>
  <c r="JP26" i="17"/>
  <c r="IZ27" i="17"/>
  <c r="JF27" i="17"/>
  <c r="JH27" i="17"/>
  <c r="JN27" i="17"/>
  <c r="JP27" i="17"/>
  <c r="JF10" i="17"/>
  <c r="JN10" i="17"/>
  <c r="IZ10" i="17"/>
  <c r="JH10" i="17"/>
  <c r="JP10" i="17"/>
  <c r="GF32" i="17"/>
  <c r="GE32" i="17"/>
  <c r="GB32" i="17"/>
  <c r="GA32" i="17"/>
  <c r="FX32" i="17"/>
  <c r="FW32" i="17"/>
  <c r="FT32" i="17"/>
  <c r="FS32" i="17"/>
  <c r="FX28" i="17"/>
  <c r="FW28" i="17"/>
  <c r="FW35" i="17" s="1"/>
  <c r="FT28" i="17"/>
  <c r="FT35" i="17" s="1"/>
  <c r="FS28" i="17"/>
  <c r="FS35" i="17" s="1"/>
  <c r="ER32" i="17"/>
  <c r="EQ32" i="17"/>
  <c r="EN32" i="17"/>
  <c r="EM32" i="17"/>
  <c r="ER28" i="17"/>
  <c r="EQ28" i="17"/>
  <c r="EN28" i="17"/>
  <c r="EM28" i="17"/>
  <c r="EM35" i="17" s="1"/>
  <c r="ED28" i="17"/>
  <c r="EE28" i="17"/>
  <c r="EF28" i="17"/>
  <c r="EE32" i="17"/>
  <c r="EF32" i="17"/>
  <c r="EJ32" i="17"/>
  <c r="EI32" i="17"/>
  <c r="EJ28" i="17"/>
  <c r="EJ35" i="17" s="1"/>
  <c r="EI28" i="17"/>
  <c r="EH28" i="17"/>
  <c r="DT32" i="17"/>
  <c r="DS32" i="17"/>
  <c r="DP32" i="17"/>
  <c r="DO32" i="17"/>
  <c r="DT28" i="17"/>
  <c r="DS28" i="17"/>
  <c r="DP28" i="17"/>
  <c r="DP35" i="17" s="1"/>
  <c r="DO28" i="17"/>
  <c r="DL32" i="17"/>
  <c r="DK32" i="17"/>
  <c r="DH32" i="17"/>
  <c r="DG32" i="17"/>
  <c r="DL28" i="17"/>
  <c r="DK28" i="17"/>
  <c r="DJ28" i="17"/>
  <c r="DH28" i="17"/>
  <c r="DG28" i="17"/>
  <c r="DF28" i="17"/>
  <c r="CV32" i="17"/>
  <c r="CU32" i="17"/>
  <c r="CR32" i="17"/>
  <c r="CQ32" i="17"/>
  <c r="CV28" i="17"/>
  <c r="CU28" i="17"/>
  <c r="CR28" i="17"/>
  <c r="CR35" i="17" s="1"/>
  <c r="CQ28" i="17"/>
  <c r="CN32" i="17"/>
  <c r="CM32" i="17"/>
  <c r="CJ32" i="17"/>
  <c r="CI32" i="17"/>
  <c r="CN28" i="17"/>
  <c r="CM28" i="17"/>
  <c r="CL28" i="17"/>
  <c r="CJ28" i="17"/>
  <c r="CJ35" i="17" s="1"/>
  <c r="CI28" i="17"/>
  <c r="CH28" i="17"/>
  <c r="BC28" i="17"/>
  <c r="BD28" i="17"/>
  <c r="BG28" i="17"/>
  <c r="BH28" i="17"/>
  <c r="BC32" i="17"/>
  <c r="BD32" i="17"/>
  <c r="BG32" i="17"/>
  <c r="BG35" i="17" s="1"/>
  <c r="BH32" i="17"/>
  <c r="T25" i="17" l="1"/>
  <c r="I25" i="17" s="1"/>
  <c r="T21" i="17"/>
  <c r="I21" i="17" s="1"/>
  <c r="T13" i="17"/>
  <c r="I13" i="17" s="1"/>
  <c r="DH35" i="17"/>
  <c r="T26" i="17"/>
  <c r="I26" i="17" s="1"/>
  <c r="T22" i="17"/>
  <c r="I22" i="17" s="1"/>
  <c r="T18" i="17"/>
  <c r="T14" i="17"/>
  <c r="T23" i="17"/>
  <c r="I23" i="17" s="1"/>
  <c r="T19" i="17"/>
  <c r="I19" i="17" s="1"/>
  <c r="T15" i="17"/>
  <c r="T10" i="17"/>
  <c r="I10" i="17" s="1"/>
  <c r="T24" i="17"/>
  <c r="I24" i="17" s="1"/>
  <c r="T20" i="17"/>
  <c r="I20" i="17" s="1"/>
  <c r="T16" i="17"/>
  <c r="T12" i="17"/>
  <c r="I12" i="17" s="1"/>
  <c r="I18" i="17"/>
  <c r="H32" i="17"/>
  <c r="T32" i="17"/>
  <c r="I32" i="17"/>
  <c r="P32" i="17"/>
  <c r="I14" i="17"/>
  <c r="I15" i="17"/>
  <c r="GF28" i="17"/>
  <c r="GF35" i="17" s="1"/>
  <c r="GD28" i="17"/>
  <c r="I16" i="17"/>
  <c r="S32" i="17"/>
  <c r="O32" i="17"/>
  <c r="EN35" i="17"/>
  <c r="EI35" i="17"/>
  <c r="CU35" i="17"/>
  <c r="DK35" i="17"/>
  <c r="DS35" i="17"/>
  <c r="EE35" i="17"/>
  <c r="CM35" i="17"/>
  <c r="BH35" i="17"/>
  <c r="ER35" i="17"/>
  <c r="CI35" i="17"/>
  <c r="CN35" i="17"/>
  <c r="CQ35" i="17"/>
  <c r="CV35" i="17"/>
  <c r="DG35" i="17"/>
  <c r="DL35" i="17"/>
  <c r="DO35" i="17"/>
  <c r="DT35" i="17"/>
  <c r="EQ35" i="17"/>
  <c r="EF35" i="17"/>
  <c r="FX35" i="17"/>
  <c r="BD35" i="17"/>
  <c r="BC35" i="17"/>
  <c r="D446" i="8"/>
  <c r="D164" i="8"/>
  <c r="D172" i="8"/>
  <c r="D155" i="8" s="1"/>
  <c r="D120" i="8"/>
  <c r="D188" i="8"/>
  <c r="E290" i="8"/>
  <c r="D284" i="8"/>
  <c r="D104" i="8"/>
  <c r="D443" i="8"/>
  <c r="E371" i="8" l="1"/>
  <c r="F371" i="8"/>
  <c r="D371" i="8"/>
  <c r="D369" i="8"/>
  <c r="D227" i="8"/>
  <c r="H371" i="8" l="1"/>
  <c r="D48" i="11"/>
  <c r="CO32" i="6" l="1"/>
  <c r="CO31" i="6"/>
  <c r="CO12" i="6"/>
  <c r="CO13" i="6"/>
  <c r="CO14" i="6"/>
  <c r="CO15" i="6"/>
  <c r="CO16" i="6"/>
  <c r="CO17" i="6"/>
  <c r="CO18" i="6"/>
  <c r="CO19" i="6"/>
  <c r="CO20" i="6"/>
  <c r="CO21" i="6"/>
  <c r="CO22" i="6"/>
  <c r="CO23" i="6"/>
  <c r="CO24" i="6"/>
  <c r="CO25" i="6"/>
  <c r="CO26" i="6"/>
  <c r="CO27" i="6"/>
  <c r="CO28" i="6"/>
  <c r="CO11" i="6"/>
  <c r="SK33" i="2"/>
  <c r="CN32" i="6" s="1"/>
  <c r="SJ33" i="2"/>
  <c r="SK32" i="2"/>
  <c r="CN31" i="6" s="1"/>
  <c r="SJ32" i="2"/>
  <c r="SJ13" i="2"/>
  <c r="SK13" i="2"/>
  <c r="CN12" i="6" s="1"/>
  <c r="SJ14" i="2"/>
  <c r="SK14" i="2"/>
  <c r="CN13" i="6" s="1"/>
  <c r="SJ15" i="2"/>
  <c r="SK15" i="2"/>
  <c r="CN14" i="6" s="1"/>
  <c r="SJ16" i="2"/>
  <c r="SK16" i="2"/>
  <c r="CN15" i="6" s="1"/>
  <c r="SJ17" i="2"/>
  <c r="SK17" i="2"/>
  <c r="CN16" i="6" s="1"/>
  <c r="SJ18" i="2"/>
  <c r="SK18" i="2"/>
  <c r="SJ19" i="2"/>
  <c r="SK19" i="2"/>
  <c r="CN18" i="6" s="1"/>
  <c r="SJ20" i="2"/>
  <c r="SK20" i="2"/>
  <c r="SJ21" i="2"/>
  <c r="SK21" i="2"/>
  <c r="CN20" i="6" s="1"/>
  <c r="SJ22" i="2"/>
  <c r="SK22" i="2"/>
  <c r="CN21" i="6" s="1"/>
  <c r="SJ23" i="2"/>
  <c r="SK23" i="2"/>
  <c r="CN22" i="6" s="1"/>
  <c r="SJ24" i="2"/>
  <c r="SK24" i="2"/>
  <c r="CN23" i="6" s="1"/>
  <c r="SJ25" i="2"/>
  <c r="SK25" i="2"/>
  <c r="CN24" i="6" s="1"/>
  <c r="SJ26" i="2"/>
  <c r="SK26" i="2"/>
  <c r="SJ27" i="2"/>
  <c r="SK27" i="2"/>
  <c r="CN26" i="6" s="1"/>
  <c r="SJ28" i="2"/>
  <c r="SK28" i="2"/>
  <c r="SJ29" i="2"/>
  <c r="SK29" i="2"/>
  <c r="CN28" i="6" s="1"/>
  <c r="SK12" i="2"/>
  <c r="CN11" i="6" s="1"/>
  <c r="SJ12" i="2"/>
  <c r="SN34" i="2"/>
  <c r="SL32" i="2"/>
  <c r="SM34" i="2"/>
  <c r="SL29" i="2"/>
  <c r="SL25" i="2"/>
  <c r="SL21" i="2"/>
  <c r="SL17" i="2"/>
  <c r="SL13" i="2"/>
  <c r="SN30" i="2"/>
  <c r="SN37" i="2" s="1"/>
  <c r="C55" i="7" s="1"/>
  <c r="SM30" i="2"/>
  <c r="SL33" i="2"/>
  <c r="SL28" i="2"/>
  <c r="SL27" i="2"/>
  <c r="SL26" i="2"/>
  <c r="SL24" i="2"/>
  <c r="SL23" i="2"/>
  <c r="SL22" i="2"/>
  <c r="SL20" i="2"/>
  <c r="SL19" i="2"/>
  <c r="SL18" i="2"/>
  <c r="SL16" i="2"/>
  <c r="SL15" i="2"/>
  <c r="SL14" i="2"/>
  <c r="SL12" i="2"/>
  <c r="SI17" i="2" l="1"/>
  <c r="SJ34" i="2"/>
  <c r="SI15" i="2"/>
  <c r="CN33" i="6"/>
  <c r="SK34" i="2"/>
  <c r="SM37" i="2"/>
  <c r="F34" i="11" s="1"/>
  <c r="SL34" i="2"/>
  <c r="F35" i="11"/>
  <c r="SI12" i="2"/>
  <c r="SI28" i="2"/>
  <c r="SI26" i="2"/>
  <c r="SI20" i="2"/>
  <c r="SI18" i="2"/>
  <c r="SI16" i="2"/>
  <c r="SI14" i="2"/>
  <c r="SI22" i="2"/>
  <c r="SI29" i="2"/>
  <c r="SI27" i="2"/>
  <c r="SI25" i="2"/>
  <c r="SI23" i="2"/>
  <c r="SI21" i="2"/>
  <c r="SI19" i="2"/>
  <c r="SK30" i="2"/>
  <c r="SI33" i="2"/>
  <c r="SI24" i="2"/>
  <c r="CN27" i="6"/>
  <c r="CN25" i="6"/>
  <c r="CN19" i="6"/>
  <c r="CN17" i="6"/>
  <c r="SI13" i="2"/>
  <c r="SL30" i="2"/>
  <c r="SL37" i="2" s="1"/>
  <c r="SI32" i="2"/>
  <c r="SJ30" i="2"/>
  <c r="SK37" i="2" l="1"/>
  <c r="B55" i="7" s="1"/>
  <c r="SJ37" i="2"/>
  <c r="E34" i="11" s="1"/>
  <c r="CN29" i="6"/>
  <c r="CN36" i="6" s="1"/>
  <c r="SI30" i="2"/>
  <c r="SI34" i="2"/>
  <c r="AK32" i="6"/>
  <c r="EO31" i="17" s="1"/>
  <c r="EP31" i="17" s="1"/>
  <c r="AK31" i="6"/>
  <c r="EO30" i="17" s="1"/>
  <c r="EP30" i="17" s="1"/>
  <c r="AK12" i="6"/>
  <c r="EO11" i="17" s="1"/>
  <c r="EP11" i="17" s="1"/>
  <c r="AK13" i="6"/>
  <c r="EO12" i="17" s="1"/>
  <c r="EP12" i="17" s="1"/>
  <c r="AK14" i="6"/>
  <c r="EO13" i="17" s="1"/>
  <c r="EP13" i="17" s="1"/>
  <c r="AK15" i="6"/>
  <c r="EO14" i="17" s="1"/>
  <c r="EP14" i="17" s="1"/>
  <c r="AK16" i="6"/>
  <c r="EO15" i="17" s="1"/>
  <c r="EP15" i="17" s="1"/>
  <c r="AK17" i="6"/>
  <c r="EO16" i="17" s="1"/>
  <c r="EP16" i="17" s="1"/>
  <c r="AK18" i="6"/>
  <c r="EO17" i="17" s="1"/>
  <c r="EP17" i="17" s="1"/>
  <c r="AK19" i="6"/>
  <c r="EO18" i="17" s="1"/>
  <c r="EP18" i="17" s="1"/>
  <c r="AK20" i="6"/>
  <c r="EO19" i="17" s="1"/>
  <c r="EP19" i="17" s="1"/>
  <c r="AK21" i="6"/>
  <c r="EO20" i="17" s="1"/>
  <c r="EP20" i="17" s="1"/>
  <c r="AK22" i="6"/>
  <c r="EO21" i="17" s="1"/>
  <c r="EP21" i="17" s="1"/>
  <c r="AK23" i="6"/>
  <c r="EO22" i="17" s="1"/>
  <c r="EP22" i="17" s="1"/>
  <c r="AK24" i="6"/>
  <c r="EO23" i="17" s="1"/>
  <c r="EP23" i="17" s="1"/>
  <c r="AK25" i="6"/>
  <c r="EO24" i="17" s="1"/>
  <c r="EP24" i="17" s="1"/>
  <c r="AK26" i="6"/>
  <c r="EO25" i="17" s="1"/>
  <c r="EP25" i="17" s="1"/>
  <c r="AK27" i="6"/>
  <c r="EO26" i="17" s="1"/>
  <c r="EP26" i="17" s="1"/>
  <c r="AK28" i="6"/>
  <c r="EO27" i="17" s="1"/>
  <c r="EP27" i="17" s="1"/>
  <c r="AK11" i="6"/>
  <c r="EO10" i="17" s="1"/>
  <c r="EP10" i="17" s="1"/>
  <c r="HW33" i="2"/>
  <c r="AJ32" i="6" s="1"/>
  <c r="EK31" i="17" s="1"/>
  <c r="EL31" i="17" s="1"/>
  <c r="HV33" i="2"/>
  <c r="HW32" i="2"/>
  <c r="AJ31" i="6" s="1"/>
  <c r="EK30" i="17" s="1"/>
  <c r="EL30" i="17" s="1"/>
  <c r="HV32" i="2"/>
  <c r="HV13" i="2"/>
  <c r="HW13" i="2"/>
  <c r="HV14" i="2"/>
  <c r="HW14" i="2"/>
  <c r="AJ13" i="6" s="1"/>
  <c r="EK12" i="17" s="1"/>
  <c r="EL12" i="17" s="1"/>
  <c r="HV15" i="2"/>
  <c r="HW15" i="2"/>
  <c r="HV16" i="2"/>
  <c r="HW16" i="2"/>
  <c r="AJ15" i="6" s="1"/>
  <c r="EK14" i="17" s="1"/>
  <c r="EL14" i="17" s="1"/>
  <c r="HV17" i="2"/>
  <c r="HW17" i="2"/>
  <c r="HV18" i="2"/>
  <c r="HW18" i="2"/>
  <c r="AJ17" i="6" s="1"/>
  <c r="EK16" i="17" s="1"/>
  <c r="EL16" i="17" s="1"/>
  <c r="HV19" i="2"/>
  <c r="HW19" i="2"/>
  <c r="HV20" i="2"/>
  <c r="HW20" i="2"/>
  <c r="AJ19" i="6" s="1"/>
  <c r="EK18" i="17" s="1"/>
  <c r="EL18" i="17" s="1"/>
  <c r="HV21" i="2"/>
  <c r="HW21" i="2"/>
  <c r="HV22" i="2"/>
  <c r="HW22" i="2"/>
  <c r="AJ21" i="6" s="1"/>
  <c r="EK20" i="17" s="1"/>
  <c r="EL20" i="17" s="1"/>
  <c r="HV23" i="2"/>
  <c r="HW23" i="2"/>
  <c r="HV24" i="2"/>
  <c r="HW24" i="2"/>
  <c r="AJ23" i="6" s="1"/>
  <c r="EK22" i="17" s="1"/>
  <c r="EL22" i="17" s="1"/>
  <c r="HV25" i="2"/>
  <c r="HW25" i="2"/>
  <c r="HV26" i="2"/>
  <c r="HW26" i="2"/>
  <c r="AJ25" i="6" s="1"/>
  <c r="EK24" i="17" s="1"/>
  <c r="EL24" i="17" s="1"/>
  <c r="HV27" i="2"/>
  <c r="HW27" i="2"/>
  <c r="HV28" i="2"/>
  <c r="HW28" i="2"/>
  <c r="AJ27" i="6" s="1"/>
  <c r="EK26" i="17" s="1"/>
  <c r="EL26" i="17" s="1"/>
  <c r="HV29" i="2"/>
  <c r="HW29" i="2"/>
  <c r="HW12" i="2"/>
  <c r="AJ11" i="6" s="1"/>
  <c r="EK10" i="17" s="1"/>
  <c r="EL10" i="17" s="1"/>
  <c r="HV12" i="2"/>
  <c r="HZ34" i="2"/>
  <c r="HY34" i="2"/>
  <c r="HX33" i="2"/>
  <c r="HX32" i="2"/>
  <c r="HZ30" i="2"/>
  <c r="HY30" i="2"/>
  <c r="HY37" i="2" s="1"/>
  <c r="HY42" i="2" s="1"/>
  <c r="HX29" i="2"/>
  <c r="HX28" i="2"/>
  <c r="HX27" i="2"/>
  <c r="HX26" i="2"/>
  <c r="HX25" i="2"/>
  <c r="HX24" i="2"/>
  <c r="HX23" i="2"/>
  <c r="HX22" i="2"/>
  <c r="HX21" i="2"/>
  <c r="HX20" i="2"/>
  <c r="HX19" i="2"/>
  <c r="HX18" i="2"/>
  <c r="HX17" i="2"/>
  <c r="HX16" i="2"/>
  <c r="HX15" i="2"/>
  <c r="HX14" i="2"/>
  <c r="HX13" i="2"/>
  <c r="HX12" i="2"/>
  <c r="H377" i="8"/>
  <c r="G377" i="8"/>
  <c r="I377" i="8" s="1"/>
  <c r="D376" i="8"/>
  <c r="H374" i="8"/>
  <c r="G374" i="8"/>
  <c r="D373" i="8"/>
  <c r="J372" i="8"/>
  <c r="HX30" i="2" l="1"/>
  <c r="HX34" i="2"/>
  <c r="EP28" i="17"/>
  <c r="E35" i="11"/>
  <c r="HW34" i="2"/>
  <c r="HU14" i="2"/>
  <c r="D370" i="8"/>
  <c r="EL32" i="17"/>
  <c r="SI37" i="2"/>
  <c r="HZ37" i="2"/>
  <c r="HZ42" i="2" s="1"/>
  <c r="EP32" i="17"/>
  <c r="I374" i="8"/>
  <c r="G371" i="8"/>
  <c r="I371" i="8" s="1"/>
  <c r="EK32" i="17"/>
  <c r="EO32" i="17"/>
  <c r="EO28" i="17"/>
  <c r="F372" i="8"/>
  <c r="C8" i="7"/>
  <c r="HU22" i="2"/>
  <c r="HV30" i="2"/>
  <c r="HU29" i="2"/>
  <c r="HU27" i="2"/>
  <c r="HU25" i="2"/>
  <c r="HU23" i="2"/>
  <c r="HU21" i="2"/>
  <c r="HU19" i="2"/>
  <c r="HU17" i="2"/>
  <c r="HU15" i="2"/>
  <c r="HU13" i="2"/>
  <c r="HU33" i="2"/>
  <c r="HU12" i="2"/>
  <c r="HU32" i="2"/>
  <c r="HU18" i="2"/>
  <c r="HU26" i="2"/>
  <c r="HW30" i="2"/>
  <c r="HU20" i="2"/>
  <c r="HU28" i="2"/>
  <c r="HU16" i="2"/>
  <c r="HU24" i="2"/>
  <c r="AJ28" i="6"/>
  <c r="EK27" i="17" s="1"/>
  <c r="EL27" i="17" s="1"/>
  <c r="AJ26" i="6"/>
  <c r="EK25" i="17" s="1"/>
  <c r="EL25" i="17" s="1"/>
  <c r="AJ24" i="6"/>
  <c r="EK23" i="17" s="1"/>
  <c r="EL23" i="17" s="1"/>
  <c r="AJ22" i="6"/>
  <c r="EK21" i="17" s="1"/>
  <c r="EL21" i="17" s="1"/>
  <c r="AJ20" i="6"/>
  <c r="EK19" i="17" s="1"/>
  <c r="EL19" i="17" s="1"/>
  <c r="AJ18" i="6"/>
  <c r="EK17" i="17" s="1"/>
  <c r="EL17" i="17" s="1"/>
  <c r="AJ16" i="6"/>
  <c r="EK15" i="17" s="1"/>
  <c r="EL15" i="17" s="1"/>
  <c r="AJ14" i="6"/>
  <c r="EK13" i="17" s="1"/>
  <c r="EL13" i="17" s="1"/>
  <c r="AJ12" i="6"/>
  <c r="EK11" i="17" s="1"/>
  <c r="EL11" i="17" s="1"/>
  <c r="HV34" i="2"/>
  <c r="AK29" i="6"/>
  <c r="AK33" i="6"/>
  <c r="HX37" i="2" l="1"/>
  <c r="EP35" i="17"/>
  <c r="HW37" i="2"/>
  <c r="B8" i="7" s="1"/>
  <c r="EO35" i="17"/>
  <c r="EL28" i="17"/>
  <c r="EL35" i="17" s="1"/>
  <c r="F375" i="8"/>
  <c r="F376" i="8" s="1"/>
  <c r="EK28" i="17"/>
  <c r="EK35" i="17" s="1"/>
  <c r="F373" i="8"/>
  <c r="HU34" i="2"/>
  <c r="HU30" i="2"/>
  <c r="AK36" i="6"/>
  <c r="HV37" i="2"/>
  <c r="E372" i="8" s="1"/>
  <c r="EO36" i="17" l="1"/>
  <c r="E375" i="8"/>
  <c r="E369" i="8" s="1"/>
  <c r="EK36" i="17"/>
  <c r="F369" i="8"/>
  <c r="F370" i="8"/>
  <c r="HU37" i="2"/>
  <c r="UF13" i="2"/>
  <c r="UG13" i="2"/>
  <c r="CV12" i="6" s="1"/>
  <c r="UF14" i="2"/>
  <c r="UG14" i="2"/>
  <c r="CV13" i="6" s="1"/>
  <c r="UF15" i="2"/>
  <c r="UG15" i="2"/>
  <c r="CV14" i="6" s="1"/>
  <c r="UF16" i="2"/>
  <c r="UG16" i="2"/>
  <c r="CV15" i="6" s="1"/>
  <c r="UF17" i="2"/>
  <c r="UG17" i="2"/>
  <c r="CV16" i="6" s="1"/>
  <c r="UF18" i="2"/>
  <c r="UG18" i="2"/>
  <c r="CV17" i="6" s="1"/>
  <c r="UF19" i="2"/>
  <c r="UG19" i="2"/>
  <c r="CV18" i="6" s="1"/>
  <c r="UF20" i="2"/>
  <c r="UG20" i="2"/>
  <c r="CV19" i="6" s="1"/>
  <c r="UF21" i="2"/>
  <c r="UG21" i="2"/>
  <c r="CV20" i="6" s="1"/>
  <c r="UF22" i="2"/>
  <c r="UG22" i="2"/>
  <c r="CV21" i="6" s="1"/>
  <c r="UF23" i="2"/>
  <c r="UG23" i="2"/>
  <c r="CV22" i="6" s="1"/>
  <c r="UF24" i="2"/>
  <c r="UG24" i="2"/>
  <c r="CV23" i="6" s="1"/>
  <c r="UF25" i="2"/>
  <c r="UG25" i="2"/>
  <c r="CV24" i="6" s="1"/>
  <c r="UF26" i="2"/>
  <c r="UG26" i="2"/>
  <c r="CV25" i="6" s="1"/>
  <c r="UF27" i="2"/>
  <c r="UG27" i="2"/>
  <c r="CV26" i="6" s="1"/>
  <c r="UF28" i="2"/>
  <c r="UG28" i="2"/>
  <c r="CV27" i="6" s="1"/>
  <c r="UF29" i="2"/>
  <c r="UG29" i="2"/>
  <c r="CV28" i="6" s="1"/>
  <c r="UG12" i="2"/>
  <c r="CV11" i="6" s="1"/>
  <c r="UF12" i="2"/>
  <c r="UJ34" i="2"/>
  <c r="UI34" i="2"/>
  <c r="UG34" i="2"/>
  <c r="UF34" i="2"/>
  <c r="UH33" i="2"/>
  <c r="UE33" i="2"/>
  <c r="UH32" i="2"/>
  <c r="UE32" i="2"/>
  <c r="UJ30" i="2"/>
  <c r="UJ37" i="2" s="1"/>
  <c r="UD38" i="2" s="1"/>
  <c r="UI30" i="2"/>
  <c r="UI37" i="2" s="1"/>
  <c r="UC38" i="2" s="1"/>
  <c r="F23" i="11" s="1"/>
  <c r="UH29" i="2"/>
  <c r="UH28" i="2"/>
  <c r="UH27" i="2"/>
  <c r="UH26" i="2"/>
  <c r="UH25" i="2"/>
  <c r="UH24" i="2"/>
  <c r="UH23" i="2"/>
  <c r="UH22" i="2"/>
  <c r="UH21" i="2"/>
  <c r="UH20" i="2"/>
  <c r="UH19" i="2"/>
  <c r="UH18" i="2"/>
  <c r="UH17" i="2"/>
  <c r="UH16" i="2"/>
  <c r="UH15" i="2"/>
  <c r="UH14" i="2"/>
  <c r="UH13" i="2"/>
  <c r="UH12" i="2"/>
  <c r="C62" i="7" l="1"/>
  <c r="F24" i="11"/>
  <c r="F21" i="11" s="1"/>
  <c r="UN15" i="2"/>
  <c r="UN19" i="2"/>
  <c r="UL19" i="2" s="1"/>
  <c r="UN27" i="2"/>
  <c r="UL27" i="2" s="1"/>
  <c r="UN12" i="2"/>
  <c r="UN16" i="2"/>
  <c r="UL16" i="2" s="1"/>
  <c r="UN20" i="2"/>
  <c r="UL20" i="2" s="1"/>
  <c r="UN24" i="2"/>
  <c r="UL24" i="2" s="1"/>
  <c r="UN28" i="2"/>
  <c r="UL28" i="2" s="1"/>
  <c r="UN23" i="2"/>
  <c r="UL23" i="2" s="1"/>
  <c r="UH34" i="2"/>
  <c r="H369" i="8"/>
  <c r="UE18" i="2"/>
  <c r="UL15" i="2"/>
  <c r="UN29" i="2"/>
  <c r="UL29" i="2" s="1"/>
  <c r="UN25" i="2"/>
  <c r="UL25" i="2" s="1"/>
  <c r="UN21" i="2"/>
  <c r="UL21" i="2" s="1"/>
  <c r="UN17" i="2"/>
  <c r="UL17" i="2" s="1"/>
  <c r="UN13" i="2"/>
  <c r="UL13" i="2" s="1"/>
  <c r="UN26" i="2"/>
  <c r="UL26" i="2" s="1"/>
  <c r="UN22" i="2"/>
  <c r="UL22" i="2" s="1"/>
  <c r="UN18" i="2"/>
  <c r="UL18" i="2" s="1"/>
  <c r="UN14" i="2"/>
  <c r="UL14" i="2" s="1"/>
  <c r="UH30" i="2"/>
  <c r="UL12" i="2"/>
  <c r="UE28" i="2"/>
  <c r="UE29" i="2"/>
  <c r="UE27" i="2"/>
  <c r="UE25" i="2"/>
  <c r="UE23" i="2"/>
  <c r="UE21" i="2"/>
  <c r="UE19" i="2"/>
  <c r="UE17" i="2"/>
  <c r="UE15" i="2"/>
  <c r="UE13" i="2"/>
  <c r="UE26" i="2"/>
  <c r="UE20" i="2"/>
  <c r="UM28" i="2"/>
  <c r="UK28" i="2" s="1"/>
  <c r="UM29" i="2"/>
  <c r="UM27" i="2"/>
  <c r="UM17" i="2"/>
  <c r="UE24" i="2"/>
  <c r="UE22" i="2"/>
  <c r="UE16" i="2"/>
  <c r="UF30" i="2"/>
  <c r="UF37" i="2" s="1"/>
  <c r="TZ38" i="2" s="1"/>
  <c r="E23" i="11" s="1"/>
  <c r="UE14" i="2"/>
  <c r="UG30" i="2"/>
  <c r="UG37" i="2" s="1"/>
  <c r="UA38" i="2" s="1"/>
  <c r="UE12" i="2"/>
  <c r="UE34" i="2"/>
  <c r="UM24" i="2" l="1"/>
  <c r="UK24" i="2" s="1"/>
  <c r="E24" i="11"/>
  <c r="E21" i="11" s="1"/>
  <c r="B62" i="7"/>
  <c r="H23" i="11"/>
  <c r="UH37" i="2"/>
  <c r="UM18" i="2"/>
  <c r="UK18" i="2" s="1"/>
  <c r="UM16" i="2"/>
  <c r="UK16" i="2" s="1"/>
  <c r="UM25" i="2"/>
  <c r="UK25" i="2" s="1"/>
  <c r="UM23" i="2"/>
  <c r="UK23" i="2" s="1"/>
  <c r="UM13" i="2"/>
  <c r="UK13" i="2" s="1"/>
  <c r="UM21" i="2"/>
  <c r="UK21" i="2" s="1"/>
  <c r="UM15" i="2"/>
  <c r="UK15" i="2" s="1"/>
  <c r="UM26" i="2"/>
  <c r="UK26" i="2" s="1"/>
  <c r="UM19" i="2"/>
  <c r="UK19" i="2" s="1"/>
  <c r="UK29" i="2"/>
  <c r="UK17" i="2"/>
  <c r="UK27" i="2"/>
  <c r="UM20" i="2"/>
  <c r="UK20" i="2" s="1"/>
  <c r="UM22" i="2"/>
  <c r="UK22" i="2" s="1"/>
  <c r="G23" i="11"/>
  <c r="UM12" i="2"/>
  <c r="UK12" i="2" s="1"/>
  <c r="UM14" i="2"/>
  <c r="UK14" i="2" s="1"/>
  <c r="UE30" i="2"/>
  <c r="UE37" i="2" s="1"/>
  <c r="AR59" i="1" l="1"/>
  <c r="UB38" i="2"/>
  <c r="N59" i="1"/>
  <c r="TY38" i="2"/>
  <c r="I23" i="11"/>
  <c r="G24" i="11"/>
  <c r="I24" i="11" s="1"/>
  <c r="H24" i="11"/>
  <c r="E32" i="11"/>
  <c r="F32" i="11"/>
  <c r="D32" i="11"/>
  <c r="G35" i="11"/>
  <c r="I35" i="11" s="1"/>
  <c r="J34" i="11"/>
  <c r="H34" i="11"/>
  <c r="G34" i="11"/>
  <c r="I33" i="11"/>
  <c r="H33" i="11"/>
  <c r="G32" i="6"/>
  <c r="Y31" i="17" s="1"/>
  <c r="Z31" i="17" s="1"/>
  <c r="G31" i="6"/>
  <c r="Y30" i="17" s="1"/>
  <c r="G12" i="6"/>
  <c r="Y11" i="17" s="1"/>
  <c r="Z11" i="17" s="1"/>
  <c r="G13" i="6"/>
  <c r="Y12" i="17" s="1"/>
  <c r="Z12" i="17" s="1"/>
  <c r="G14" i="6"/>
  <c r="Y13" i="17" s="1"/>
  <c r="Z13" i="17" s="1"/>
  <c r="G15" i="6"/>
  <c r="Y14" i="17" s="1"/>
  <c r="Z14" i="17" s="1"/>
  <c r="G16" i="6"/>
  <c r="Y15" i="17" s="1"/>
  <c r="Z15" i="17" s="1"/>
  <c r="G17" i="6"/>
  <c r="Y16" i="17" s="1"/>
  <c r="Z16" i="17" s="1"/>
  <c r="G18" i="6"/>
  <c r="Y17" i="17" s="1"/>
  <c r="Z17" i="17" s="1"/>
  <c r="G19" i="6"/>
  <c r="Y18" i="17" s="1"/>
  <c r="Z18" i="17" s="1"/>
  <c r="G20" i="6"/>
  <c r="Y19" i="17" s="1"/>
  <c r="Z19" i="17" s="1"/>
  <c r="G21" i="6"/>
  <c r="Y20" i="17" s="1"/>
  <c r="Z20" i="17" s="1"/>
  <c r="G22" i="6"/>
  <c r="Y21" i="17" s="1"/>
  <c r="Z21" i="17" s="1"/>
  <c r="G23" i="6"/>
  <c r="Y22" i="17" s="1"/>
  <c r="Z22" i="17" s="1"/>
  <c r="G24" i="6"/>
  <c r="Y23" i="17" s="1"/>
  <c r="Z23" i="17" s="1"/>
  <c r="G25" i="6"/>
  <c r="Y24" i="17" s="1"/>
  <c r="Z24" i="17" s="1"/>
  <c r="G26" i="6"/>
  <c r="Y25" i="17" s="1"/>
  <c r="Z25" i="17" s="1"/>
  <c r="G27" i="6"/>
  <c r="Y26" i="17" s="1"/>
  <c r="Z26" i="17" s="1"/>
  <c r="G28" i="6"/>
  <c r="Y27" i="17" s="1"/>
  <c r="Z27" i="17" s="1"/>
  <c r="G11" i="6"/>
  <c r="Y10" i="17" s="1"/>
  <c r="CN33" i="2"/>
  <c r="CN32" i="2"/>
  <c r="CP34" i="2"/>
  <c r="CP30" i="2"/>
  <c r="CN13" i="2"/>
  <c r="CN14" i="2"/>
  <c r="CN15" i="2"/>
  <c r="CN16" i="2"/>
  <c r="CN17" i="2"/>
  <c r="CN18" i="2"/>
  <c r="CN19" i="2"/>
  <c r="CN20" i="2"/>
  <c r="CN21" i="2"/>
  <c r="CN22" i="2"/>
  <c r="CN23" i="2"/>
  <c r="CN24" i="2"/>
  <c r="CN25" i="2"/>
  <c r="CN26" i="2"/>
  <c r="CN27" i="2"/>
  <c r="CN28" i="2"/>
  <c r="CN29" i="2"/>
  <c r="CN12" i="2"/>
  <c r="CO33" i="2"/>
  <c r="CO32" i="2"/>
  <c r="CO29" i="2"/>
  <c r="CO28" i="2"/>
  <c r="CO27" i="2"/>
  <c r="CO26" i="2"/>
  <c r="CO25" i="2"/>
  <c r="CO24" i="2"/>
  <c r="CO23" i="2"/>
  <c r="CO22" i="2"/>
  <c r="CO21" i="2"/>
  <c r="CO20" i="2"/>
  <c r="CO19" i="2"/>
  <c r="CO18" i="2"/>
  <c r="CO17" i="2"/>
  <c r="CO16" i="2"/>
  <c r="CO15" i="2"/>
  <c r="CO14" i="2"/>
  <c r="CO13" i="2"/>
  <c r="CO12" i="2"/>
  <c r="CO34" i="2" l="1"/>
  <c r="CP37" i="2"/>
  <c r="CP41" i="2" s="1"/>
  <c r="Z10" i="17"/>
  <c r="Z28" i="17" s="1"/>
  <c r="Y28" i="17"/>
  <c r="G21" i="11"/>
  <c r="Z30" i="17"/>
  <c r="Z32" i="17" s="1"/>
  <c r="Y32" i="17"/>
  <c r="CM17" i="2"/>
  <c r="CM33" i="2"/>
  <c r="CM25" i="2"/>
  <c r="CO30" i="2"/>
  <c r="G32" i="11"/>
  <c r="G33" i="6"/>
  <c r="CM28" i="2"/>
  <c r="CM24" i="2"/>
  <c r="CM20" i="2"/>
  <c r="CM16" i="2"/>
  <c r="F28" i="6"/>
  <c r="U27" i="17" s="1"/>
  <c r="V27" i="17" s="1"/>
  <c r="F24" i="6"/>
  <c r="U23" i="17" s="1"/>
  <c r="V23" i="17" s="1"/>
  <c r="F20" i="6"/>
  <c r="U19" i="17" s="1"/>
  <c r="V19" i="17" s="1"/>
  <c r="F16" i="6"/>
  <c r="U15" i="17" s="1"/>
  <c r="V15" i="17" s="1"/>
  <c r="F12" i="6"/>
  <c r="U11" i="17" s="1"/>
  <c r="V11" i="17" s="1"/>
  <c r="F32" i="6"/>
  <c r="U31" i="17" s="1"/>
  <c r="V31" i="17" s="1"/>
  <c r="CM12" i="2"/>
  <c r="CM26" i="2"/>
  <c r="CM22" i="2"/>
  <c r="CM18" i="2"/>
  <c r="CM14" i="2"/>
  <c r="CM32" i="2"/>
  <c r="CM34" i="2" s="1"/>
  <c r="CM27" i="2"/>
  <c r="CM23" i="2"/>
  <c r="CM19" i="2"/>
  <c r="CM15" i="2"/>
  <c r="C28" i="7"/>
  <c r="F113" i="8"/>
  <c r="F11" i="6"/>
  <c r="U10" i="17" s="1"/>
  <c r="H35" i="11"/>
  <c r="I34" i="11"/>
  <c r="CN30" i="2"/>
  <c r="CM29" i="2"/>
  <c r="CM13" i="2"/>
  <c r="F27" i="6"/>
  <c r="U26" i="17" s="1"/>
  <c r="V26" i="17" s="1"/>
  <c r="F25" i="6"/>
  <c r="U24" i="17" s="1"/>
  <c r="V24" i="17" s="1"/>
  <c r="F23" i="6"/>
  <c r="U22" i="17" s="1"/>
  <c r="V22" i="17" s="1"/>
  <c r="F21" i="6"/>
  <c r="U20" i="17" s="1"/>
  <c r="V20" i="17" s="1"/>
  <c r="F19" i="6"/>
  <c r="U18" i="17" s="1"/>
  <c r="V18" i="17" s="1"/>
  <c r="F17" i="6"/>
  <c r="U16" i="17" s="1"/>
  <c r="V16" i="17" s="1"/>
  <c r="F15" i="6"/>
  <c r="U14" i="17" s="1"/>
  <c r="V14" i="17" s="1"/>
  <c r="F13" i="6"/>
  <c r="U12" i="17" s="1"/>
  <c r="V12" i="17" s="1"/>
  <c r="F31" i="6"/>
  <c r="U30" i="17" s="1"/>
  <c r="CM21" i="2"/>
  <c r="F26" i="6"/>
  <c r="U25" i="17" s="1"/>
  <c r="V25" i="17" s="1"/>
  <c r="F22" i="6"/>
  <c r="U21" i="17" s="1"/>
  <c r="V21" i="17" s="1"/>
  <c r="F18" i="6"/>
  <c r="U17" i="17" s="1"/>
  <c r="V17" i="17" s="1"/>
  <c r="F14" i="6"/>
  <c r="U13" i="17" s="1"/>
  <c r="V13" i="17" s="1"/>
  <c r="CN34" i="2"/>
  <c r="G29" i="6"/>
  <c r="G36" i="6" s="1"/>
  <c r="D109" i="8"/>
  <c r="D108" i="8"/>
  <c r="D116" i="8"/>
  <c r="H115" i="8"/>
  <c r="G115" i="8"/>
  <c r="I115" i="8" s="1"/>
  <c r="H114" i="8"/>
  <c r="G114" i="8"/>
  <c r="I114" i="8" s="1"/>
  <c r="CO37" i="2" l="1"/>
  <c r="Y35" i="17"/>
  <c r="Z35" i="17"/>
  <c r="U28" i="17"/>
  <c r="V10" i="17"/>
  <c r="V28" i="17" s="1"/>
  <c r="V30" i="17"/>
  <c r="V32" i="17" s="1"/>
  <c r="U32" i="17"/>
  <c r="F116" i="8"/>
  <c r="F488" i="8"/>
  <c r="F483" i="8" s="1"/>
  <c r="CM30" i="2"/>
  <c r="CM37" i="2" s="1"/>
  <c r="CN37" i="2"/>
  <c r="AR32" i="17"/>
  <c r="AQ32" i="17"/>
  <c r="AN32" i="17"/>
  <c r="AM32" i="17"/>
  <c r="AR28" i="17"/>
  <c r="AQ28" i="17"/>
  <c r="AP28" i="17"/>
  <c r="AN28" i="17"/>
  <c r="AM28" i="17"/>
  <c r="AL28" i="17"/>
  <c r="JP32" i="17"/>
  <c r="JO32" i="17"/>
  <c r="JP28" i="17"/>
  <c r="JN28" i="17"/>
  <c r="JL32" i="17"/>
  <c r="JK32" i="17"/>
  <c r="JH32" i="17"/>
  <c r="JG32" i="17"/>
  <c r="JH28" i="17"/>
  <c r="JF28" i="17"/>
  <c r="JD32" i="17"/>
  <c r="JC32" i="17"/>
  <c r="IZ32" i="17"/>
  <c r="IY32" i="17"/>
  <c r="IZ28" i="17"/>
  <c r="IX28" i="17"/>
  <c r="IV32" i="17"/>
  <c r="IU32" i="17"/>
  <c r="IT28" i="17"/>
  <c r="IR32" i="17"/>
  <c r="IQ32" i="17"/>
  <c r="IR28" i="17"/>
  <c r="IQ28" i="17"/>
  <c r="IP28" i="17"/>
  <c r="IN32" i="17"/>
  <c r="IM32" i="17"/>
  <c r="IN28" i="17"/>
  <c r="IM28" i="17"/>
  <c r="IL28" i="17"/>
  <c r="IJ32" i="17"/>
  <c r="II32" i="17"/>
  <c r="IJ28" i="17"/>
  <c r="IH28" i="17"/>
  <c r="IF32" i="17"/>
  <c r="IE32" i="17"/>
  <c r="ID28" i="17"/>
  <c r="IB32" i="17"/>
  <c r="IA32" i="17"/>
  <c r="IB28" i="17"/>
  <c r="IA28" i="17"/>
  <c r="HZ28" i="17"/>
  <c r="HX32" i="17"/>
  <c r="HW32" i="17"/>
  <c r="HW28" i="17"/>
  <c r="HV28" i="17"/>
  <c r="HT32" i="17"/>
  <c r="HS32" i="17"/>
  <c r="HT28" i="17"/>
  <c r="HS28" i="17"/>
  <c r="HR28" i="17"/>
  <c r="HP32" i="17"/>
  <c r="HO32" i="17"/>
  <c r="HP28" i="17"/>
  <c r="HO28" i="17"/>
  <c r="HN28" i="17"/>
  <c r="HL32" i="17"/>
  <c r="HK32" i="17"/>
  <c r="HL28" i="17"/>
  <c r="HK28" i="17"/>
  <c r="HJ28" i="17"/>
  <c r="HH32" i="17"/>
  <c r="HG32" i="17"/>
  <c r="HH28" i="17"/>
  <c r="HG28" i="17"/>
  <c r="HF28" i="17"/>
  <c r="HD32" i="17"/>
  <c r="HC32" i="17"/>
  <c r="HD28" i="17"/>
  <c r="HC28" i="17"/>
  <c r="HB28" i="17"/>
  <c r="GZ32" i="17"/>
  <c r="GY32" i="17"/>
  <c r="GZ28" i="17"/>
  <c r="GY28" i="17"/>
  <c r="GX28" i="17"/>
  <c r="GV32" i="17"/>
  <c r="GU32" i="17"/>
  <c r="GV28" i="17"/>
  <c r="GU28" i="17"/>
  <c r="GR32" i="17"/>
  <c r="GQ32" i="17"/>
  <c r="GR28" i="17"/>
  <c r="GQ28" i="17"/>
  <c r="GN32" i="17"/>
  <c r="GM32" i="17"/>
  <c r="GN28" i="17"/>
  <c r="GL28" i="17"/>
  <c r="GJ32" i="17"/>
  <c r="GI32" i="17"/>
  <c r="GH28" i="17"/>
  <c r="FP32" i="17"/>
  <c r="FO32" i="17"/>
  <c r="FL32" i="17"/>
  <c r="FK32" i="17"/>
  <c r="FH32" i="17"/>
  <c r="FG32" i="17"/>
  <c r="FH28" i="17"/>
  <c r="FG28" i="17"/>
  <c r="FF28" i="17"/>
  <c r="FD32" i="17"/>
  <c r="FC32" i="17"/>
  <c r="FD28" i="17"/>
  <c r="FC28" i="17"/>
  <c r="FB28" i="17"/>
  <c r="EB32" i="17"/>
  <c r="EA32" i="17"/>
  <c r="EB28" i="17"/>
  <c r="DZ28" i="17"/>
  <c r="DX32" i="17"/>
  <c r="DW32" i="17"/>
  <c r="DV28" i="17"/>
  <c r="DD32" i="17"/>
  <c r="DC32" i="17"/>
  <c r="DD28" i="17"/>
  <c r="DC28" i="17"/>
  <c r="DB28" i="17"/>
  <c r="CZ32" i="17"/>
  <c r="CY32" i="17"/>
  <c r="CZ28" i="17"/>
  <c r="CY28" i="17"/>
  <c r="CX28" i="17"/>
  <c r="CF32" i="17"/>
  <c r="CE32" i="17"/>
  <c r="CF28" i="17"/>
  <c r="CE28" i="17"/>
  <c r="CB32" i="17"/>
  <c r="CA32" i="17"/>
  <c r="CB28" i="17"/>
  <c r="CA28" i="17"/>
  <c r="BX32" i="17"/>
  <c r="BW32" i="17"/>
  <c r="BX28" i="17"/>
  <c r="BW28" i="17"/>
  <c r="BT32" i="17"/>
  <c r="BS32" i="17"/>
  <c r="BT28" i="17"/>
  <c r="BS28" i="17"/>
  <c r="BP32" i="17"/>
  <c r="BO32" i="17"/>
  <c r="BP28" i="17"/>
  <c r="BO28" i="17"/>
  <c r="BL32" i="17"/>
  <c r="BK32" i="17"/>
  <c r="BL28" i="17"/>
  <c r="BK28" i="17"/>
  <c r="AZ32" i="17"/>
  <c r="AY32" i="17"/>
  <c r="AZ28" i="17"/>
  <c r="AY28" i="17"/>
  <c r="AV32" i="17"/>
  <c r="AU32" i="17"/>
  <c r="AV28" i="17"/>
  <c r="AU28" i="17"/>
  <c r="AJ32" i="17"/>
  <c r="AI32" i="17"/>
  <c r="AJ28" i="17"/>
  <c r="AH28" i="17"/>
  <c r="K29" i="17"/>
  <c r="L29" i="17"/>
  <c r="K33" i="17"/>
  <c r="L33" i="17"/>
  <c r="K34" i="17"/>
  <c r="L34" i="17"/>
  <c r="AE32" i="17"/>
  <c r="BM31" i="17"/>
  <c r="BN31" i="17" s="1"/>
  <c r="BI31" i="17"/>
  <c r="BJ31" i="17" s="1"/>
  <c r="BM30" i="17"/>
  <c r="BN30" i="17" s="1"/>
  <c r="BI30" i="17"/>
  <c r="BJ30" i="17" s="1"/>
  <c r="AF32" i="17"/>
  <c r="Y36" i="17" l="1"/>
  <c r="V35" i="17"/>
  <c r="U35" i="17"/>
  <c r="BJ32" i="17"/>
  <c r="AM35" i="17"/>
  <c r="BN32" i="17"/>
  <c r="BT35" i="17"/>
  <c r="GZ35" i="17"/>
  <c r="BK35" i="17"/>
  <c r="FD35" i="17"/>
  <c r="AR35" i="17"/>
  <c r="BO35" i="17"/>
  <c r="AV35" i="17"/>
  <c r="AU35" i="17"/>
  <c r="AZ35" i="17"/>
  <c r="IN35" i="17"/>
  <c r="AY35" i="17"/>
  <c r="GN35" i="17"/>
  <c r="HD35" i="17"/>
  <c r="HL35" i="17"/>
  <c r="HT35" i="17"/>
  <c r="IB35" i="17"/>
  <c r="IR35" i="17"/>
  <c r="BL35" i="17"/>
  <c r="FC35" i="17"/>
  <c r="GQ35" i="17"/>
  <c r="GY35" i="17"/>
  <c r="HG35" i="17"/>
  <c r="IM35" i="17"/>
  <c r="BW35" i="17"/>
  <c r="CE35" i="17"/>
  <c r="DC35" i="17"/>
  <c r="GU35" i="17"/>
  <c r="HK35" i="17"/>
  <c r="HS35" i="17"/>
  <c r="IA35" i="17"/>
  <c r="IQ35" i="17"/>
  <c r="AN35" i="17"/>
  <c r="AQ35" i="17"/>
  <c r="BS35" i="17"/>
  <c r="CA35" i="17"/>
  <c r="CY35" i="17"/>
  <c r="EB35" i="17"/>
  <c r="FH35" i="17"/>
  <c r="GR35" i="17"/>
  <c r="HC35" i="17"/>
  <c r="HP35" i="17"/>
  <c r="JH35" i="17"/>
  <c r="JP35" i="17"/>
  <c r="AJ35" i="17"/>
  <c r="BP35" i="17"/>
  <c r="BX35" i="17"/>
  <c r="CF35" i="17"/>
  <c r="DD35" i="17"/>
  <c r="FG35" i="17"/>
  <c r="GV35" i="17"/>
  <c r="HH35" i="17"/>
  <c r="HO35" i="17"/>
  <c r="HW35" i="17"/>
  <c r="IJ35" i="17"/>
  <c r="IZ35" i="17"/>
  <c r="BI32" i="17"/>
  <c r="E113" i="8"/>
  <c r="B28" i="7"/>
  <c r="BM32" i="17"/>
  <c r="CB35" i="17"/>
  <c r="CZ35" i="17"/>
  <c r="U36" i="17" l="1"/>
  <c r="E116" i="8"/>
  <c r="G113" i="8"/>
  <c r="I113" i="8" s="1"/>
  <c r="H113" i="8"/>
  <c r="G116" i="8" l="1"/>
  <c r="I116" i="8" s="1"/>
  <c r="H116" i="8"/>
  <c r="DG30" i="6" l="1"/>
  <c r="DG34" i="6"/>
  <c r="DG35" i="6"/>
  <c r="D140" i="8" l="1"/>
  <c r="C16" i="16" s="1"/>
  <c r="D444" i="8"/>
  <c r="D15" i="16"/>
  <c r="E15" i="16"/>
  <c r="C15" i="16"/>
  <c r="FI40" i="2" l="1"/>
  <c r="WH23" i="2"/>
  <c r="H249" i="8" l="1"/>
  <c r="G249" i="8"/>
  <c r="I249" i="8" s="1"/>
  <c r="D248" i="8"/>
  <c r="H246" i="8"/>
  <c r="G246" i="8"/>
  <c r="I246" i="8" s="1"/>
  <c r="D245" i="8"/>
  <c r="J244" i="8"/>
  <c r="AE32" i="6"/>
  <c r="DQ31" i="17" s="1"/>
  <c r="DR31" i="17" s="1"/>
  <c r="AE31" i="6"/>
  <c r="DQ30" i="17" s="1"/>
  <c r="DR30" i="17" s="1"/>
  <c r="DR32" i="17" s="1"/>
  <c r="AE12" i="6"/>
  <c r="DQ11" i="17" s="1"/>
  <c r="DR11" i="17" s="1"/>
  <c r="AE13" i="6"/>
  <c r="DQ12" i="17" s="1"/>
  <c r="DR12" i="17" s="1"/>
  <c r="AE14" i="6"/>
  <c r="DQ13" i="17" s="1"/>
  <c r="DR13" i="17" s="1"/>
  <c r="AE15" i="6"/>
  <c r="DQ14" i="17" s="1"/>
  <c r="DR14" i="17" s="1"/>
  <c r="AE16" i="6"/>
  <c r="DQ15" i="17" s="1"/>
  <c r="DR15" i="17" s="1"/>
  <c r="AE17" i="6"/>
  <c r="DQ16" i="17" s="1"/>
  <c r="DR16" i="17" s="1"/>
  <c r="AE18" i="6"/>
  <c r="DQ17" i="17" s="1"/>
  <c r="DR17" i="17" s="1"/>
  <c r="AE19" i="6"/>
  <c r="DQ18" i="17" s="1"/>
  <c r="DR18" i="17" s="1"/>
  <c r="AE20" i="6"/>
  <c r="DQ19" i="17" s="1"/>
  <c r="DR19" i="17" s="1"/>
  <c r="AE21" i="6"/>
  <c r="DQ20" i="17" s="1"/>
  <c r="DR20" i="17" s="1"/>
  <c r="AE22" i="6"/>
  <c r="DQ21" i="17" s="1"/>
  <c r="DR21" i="17" s="1"/>
  <c r="AE23" i="6"/>
  <c r="DQ22" i="17" s="1"/>
  <c r="DR22" i="17" s="1"/>
  <c r="AE24" i="6"/>
  <c r="DQ23" i="17" s="1"/>
  <c r="DR23" i="17" s="1"/>
  <c r="AE25" i="6"/>
  <c r="DQ24" i="17" s="1"/>
  <c r="DR24" i="17" s="1"/>
  <c r="AE26" i="6"/>
  <c r="DQ25" i="17" s="1"/>
  <c r="DR25" i="17" s="1"/>
  <c r="AE27" i="6"/>
  <c r="DQ26" i="17" s="1"/>
  <c r="DR26" i="17" s="1"/>
  <c r="AE28" i="6"/>
  <c r="DQ27" i="17" s="1"/>
  <c r="DR27" i="17" s="1"/>
  <c r="AE11" i="6"/>
  <c r="DQ10" i="17" s="1"/>
  <c r="DR10" i="17" s="1"/>
  <c r="GC33" i="2"/>
  <c r="AD32" i="6" s="1"/>
  <c r="DM31" i="17" s="1"/>
  <c r="DN31" i="17" s="1"/>
  <c r="GB33" i="2"/>
  <c r="GC32" i="2"/>
  <c r="GB32" i="2"/>
  <c r="GB13" i="2"/>
  <c r="GC13" i="2"/>
  <c r="GB14" i="2"/>
  <c r="GC14" i="2"/>
  <c r="AD13" i="6" s="1"/>
  <c r="DM12" i="17" s="1"/>
  <c r="DN12" i="17" s="1"/>
  <c r="GB15" i="2"/>
  <c r="GC15" i="2"/>
  <c r="GB16" i="2"/>
  <c r="GC16" i="2"/>
  <c r="AD15" i="6" s="1"/>
  <c r="DM14" i="17" s="1"/>
  <c r="DN14" i="17" s="1"/>
  <c r="GB17" i="2"/>
  <c r="GC17" i="2"/>
  <c r="AD16" i="6" s="1"/>
  <c r="DM15" i="17" s="1"/>
  <c r="DN15" i="17" s="1"/>
  <c r="GB18" i="2"/>
  <c r="GC18" i="2"/>
  <c r="AD17" i="6" s="1"/>
  <c r="DM16" i="17" s="1"/>
  <c r="DN16" i="17" s="1"/>
  <c r="GB19" i="2"/>
  <c r="GC19" i="2"/>
  <c r="AD18" i="6" s="1"/>
  <c r="DM17" i="17" s="1"/>
  <c r="DN17" i="17" s="1"/>
  <c r="GB20" i="2"/>
  <c r="GC20" i="2"/>
  <c r="AD19" i="6" s="1"/>
  <c r="DM18" i="17" s="1"/>
  <c r="DN18" i="17" s="1"/>
  <c r="GB21" i="2"/>
  <c r="GC21" i="2"/>
  <c r="AD20" i="6" s="1"/>
  <c r="DM19" i="17" s="1"/>
  <c r="DN19" i="17" s="1"/>
  <c r="GB22" i="2"/>
  <c r="GC22" i="2"/>
  <c r="AD21" i="6" s="1"/>
  <c r="DM20" i="17" s="1"/>
  <c r="DN20" i="17" s="1"/>
  <c r="GB23" i="2"/>
  <c r="GC23" i="2"/>
  <c r="AD22" i="6" s="1"/>
  <c r="DM21" i="17" s="1"/>
  <c r="DN21" i="17" s="1"/>
  <c r="GB24" i="2"/>
  <c r="GC24" i="2"/>
  <c r="AD23" i="6" s="1"/>
  <c r="DM22" i="17" s="1"/>
  <c r="DN22" i="17" s="1"/>
  <c r="GB25" i="2"/>
  <c r="GC25" i="2"/>
  <c r="AD24" i="6" s="1"/>
  <c r="DM23" i="17" s="1"/>
  <c r="DN23" i="17" s="1"/>
  <c r="GB26" i="2"/>
  <c r="GC26" i="2"/>
  <c r="AD25" i="6" s="1"/>
  <c r="DM24" i="17" s="1"/>
  <c r="DN24" i="17" s="1"/>
  <c r="GB27" i="2"/>
  <c r="GC27" i="2"/>
  <c r="AD26" i="6" s="1"/>
  <c r="DM25" i="17" s="1"/>
  <c r="DN25" i="17" s="1"/>
  <c r="GB28" i="2"/>
  <c r="GC28" i="2"/>
  <c r="AD27" i="6" s="1"/>
  <c r="DM26" i="17" s="1"/>
  <c r="DN26" i="17" s="1"/>
  <c r="GB29" i="2"/>
  <c r="GC29" i="2"/>
  <c r="AD28" i="6" s="1"/>
  <c r="DM27" i="17" s="1"/>
  <c r="DN27" i="17" s="1"/>
  <c r="GC12" i="2"/>
  <c r="GB12" i="2"/>
  <c r="GD33" i="2"/>
  <c r="GD32" i="2"/>
  <c r="GD34" i="2" s="1"/>
  <c r="GD29" i="2"/>
  <c r="GD28" i="2"/>
  <c r="GD27" i="2"/>
  <c r="GD26" i="2"/>
  <c r="GD25" i="2"/>
  <c r="GD24" i="2"/>
  <c r="GD23" i="2"/>
  <c r="GD22" i="2"/>
  <c r="GD21" i="2"/>
  <c r="GD20" i="2"/>
  <c r="GD19" i="2"/>
  <c r="GD18" i="2"/>
  <c r="GD17" i="2"/>
  <c r="GD16" i="2"/>
  <c r="GD15" i="2"/>
  <c r="GD14" i="2"/>
  <c r="GD13" i="2"/>
  <c r="GD12" i="2"/>
  <c r="GF34" i="2"/>
  <c r="GE34" i="2"/>
  <c r="GF30" i="2"/>
  <c r="GF37" i="2" s="1"/>
  <c r="C16" i="7" s="1"/>
  <c r="GE30" i="2"/>
  <c r="DR28" i="17" l="1"/>
  <c r="DR35" i="17" s="1"/>
  <c r="GE37" i="2"/>
  <c r="F244" i="8" s="1"/>
  <c r="F245" i="8" s="1"/>
  <c r="DQ28" i="17"/>
  <c r="DQ32" i="17"/>
  <c r="GD30" i="2"/>
  <c r="GD37" i="2" s="1"/>
  <c r="F247" i="8"/>
  <c r="F248" i="8" s="1"/>
  <c r="GA19" i="2"/>
  <c r="AE33" i="6"/>
  <c r="AE29" i="6"/>
  <c r="GA29" i="2"/>
  <c r="GA12" i="2"/>
  <c r="GA28" i="2"/>
  <c r="GA26" i="2"/>
  <c r="GA24" i="2"/>
  <c r="GA22" i="2"/>
  <c r="GA20" i="2"/>
  <c r="GA18" i="2"/>
  <c r="GA16" i="2"/>
  <c r="GA14" i="2"/>
  <c r="GC34" i="2"/>
  <c r="GA32" i="2"/>
  <c r="GA15" i="2"/>
  <c r="GA13" i="2"/>
  <c r="GA23" i="2"/>
  <c r="GA25" i="2"/>
  <c r="GA17" i="2"/>
  <c r="GA27" i="2"/>
  <c r="GA21" i="2"/>
  <c r="AD14" i="6"/>
  <c r="DM13" i="17" s="1"/>
  <c r="DN13" i="17" s="1"/>
  <c r="AD12" i="6"/>
  <c r="DM11" i="17" s="1"/>
  <c r="DN11" i="17" s="1"/>
  <c r="GB30" i="2"/>
  <c r="GB34" i="2"/>
  <c r="GA33" i="2"/>
  <c r="GA34" i="2" s="1"/>
  <c r="AD11" i="6"/>
  <c r="DM10" i="17" s="1"/>
  <c r="DN10" i="17" s="1"/>
  <c r="AD31" i="6"/>
  <c r="GC30" i="2"/>
  <c r="CW13" i="2"/>
  <c r="AF11" i="17" s="1"/>
  <c r="CW14" i="2"/>
  <c r="AF12" i="17" s="1"/>
  <c r="CW15" i="2"/>
  <c r="AF13" i="17" s="1"/>
  <c r="CW16" i="2"/>
  <c r="AF14" i="17" s="1"/>
  <c r="CW17" i="2"/>
  <c r="AF15" i="17" s="1"/>
  <c r="CW18" i="2"/>
  <c r="AF16" i="17" s="1"/>
  <c r="CW19" i="2"/>
  <c r="AF17" i="17" s="1"/>
  <c r="CW20" i="2"/>
  <c r="AF18" i="17" s="1"/>
  <c r="CW21" i="2"/>
  <c r="AF19" i="17" s="1"/>
  <c r="CW22" i="2"/>
  <c r="AF20" i="17" s="1"/>
  <c r="CW23" i="2"/>
  <c r="AF21" i="17" s="1"/>
  <c r="CW24" i="2"/>
  <c r="AF22" i="17" s="1"/>
  <c r="CW25" i="2"/>
  <c r="AF23" i="17" s="1"/>
  <c r="CW26" i="2"/>
  <c r="AF24" i="17" s="1"/>
  <c r="CW27" i="2"/>
  <c r="AF25" i="17" s="1"/>
  <c r="CW28" i="2"/>
  <c r="AF26" i="17" s="1"/>
  <c r="CW29" i="2"/>
  <c r="AF27" i="17" s="1"/>
  <c r="CW12" i="2"/>
  <c r="AF10" i="17" s="1"/>
  <c r="DE15" i="2"/>
  <c r="DE16" i="2"/>
  <c r="DE17" i="2"/>
  <c r="DE18" i="2"/>
  <c r="DE19" i="2"/>
  <c r="DE20" i="2"/>
  <c r="DE21" i="2"/>
  <c r="DE23" i="2"/>
  <c r="DE24" i="2"/>
  <c r="DE25" i="2"/>
  <c r="DE26" i="2"/>
  <c r="DE28" i="2"/>
  <c r="DE29" i="2"/>
  <c r="DE12" i="2"/>
  <c r="DQ35" i="17" l="1"/>
  <c r="DQ36" i="17" s="1"/>
  <c r="AF28" i="17"/>
  <c r="AF35" i="17" s="1"/>
  <c r="DN28" i="17"/>
  <c r="AD33" i="6"/>
  <c r="DM30" i="17"/>
  <c r="DM28" i="17"/>
  <c r="AE36" i="6"/>
  <c r="GC37" i="2"/>
  <c r="E247" i="8" s="1"/>
  <c r="GB37" i="2"/>
  <c r="E244" i="8" s="1"/>
  <c r="H244" i="8" s="1"/>
  <c r="GA30" i="2"/>
  <c r="GA37" i="2" s="1"/>
  <c r="AD29" i="6"/>
  <c r="WH25" i="2"/>
  <c r="WH20" i="2"/>
  <c r="WH14" i="2"/>
  <c r="WH12" i="2"/>
  <c r="WK27" i="2"/>
  <c r="WG27" i="2"/>
  <c r="DM32" i="17" l="1"/>
  <c r="DM35" i="17" s="1"/>
  <c r="DN30" i="17"/>
  <c r="DN32" i="17" s="1"/>
  <c r="DN35" i="17" s="1"/>
  <c r="AD36" i="6"/>
  <c r="B16" i="7"/>
  <c r="G244" i="8"/>
  <c r="I244" i="8" s="1"/>
  <c r="E245" i="8"/>
  <c r="H245" i="8" s="1"/>
  <c r="E248" i="8"/>
  <c r="H247" i="8"/>
  <c r="G247" i="8"/>
  <c r="I247" i="8" s="1"/>
  <c r="E42" i="8"/>
  <c r="F42" i="8"/>
  <c r="D42" i="8"/>
  <c r="D40" i="8"/>
  <c r="BM32" i="6"/>
  <c r="JM31" i="17" s="1"/>
  <c r="JN31" i="17" s="1"/>
  <c r="BL32" i="6"/>
  <c r="JI31" i="17" s="1"/>
  <c r="JJ31" i="17" s="1"/>
  <c r="BM31" i="6"/>
  <c r="JM30" i="17" s="1"/>
  <c r="BL31" i="6"/>
  <c r="JI30" i="17" s="1"/>
  <c r="BM12" i="6"/>
  <c r="JM11" i="17" s="1"/>
  <c r="BM13" i="6"/>
  <c r="JM12" i="17" s="1"/>
  <c r="BM14" i="6"/>
  <c r="JM13" i="17" s="1"/>
  <c r="BM15" i="6"/>
  <c r="JM14" i="17" s="1"/>
  <c r="BM16" i="6"/>
  <c r="JM15" i="17" s="1"/>
  <c r="BM17" i="6"/>
  <c r="JM16" i="17" s="1"/>
  <c r="BM18" i="6"/>
  <c r="JM17" i="17" s="1"/>
  <c r="BM19" i="6"/>
  <c r="JM18" i="17" s="1"/>
  <c r="BM20" i="6"/>
  <c r="JM19" i="17" s="1"/>
  <c r="BM21" i="6"/>
  <c r="JM20" i="17" s="1"/>
  <c r="BM22" i="6"/>
  <c r="JM21" i="17" s="1"/>
  <c r="BM23" i="6"/>
  <c r="JM22" i="17" s="1"/>
  <c r="BM24" i="6"/>
  <c r="JM23" i="17" s="1"/>
  <c r="BM25" i="6"/>
  <c r="JM24" i="17" s="1"/>
  <c r="BM26" i="6"/>
  <c r="JM25" i="17" s="1"/>
  <c r="BM27" i="6"/>
  <c r="JM26" i="17" s="1"/>
  <c r="BM28" i="6"/>
  <c r="JM27" i="17" s="1"/>
  <c r="BM11" i="6"/>
  <c r="JM10" i="17" s="1"/>
  <c r="NT13" i="2"/>
  <c r="NU13" i="2"/>
  <c r="JJ11" i="17" s="1"/>
  <c r="NT14" i="2"/>
  <c r="NU14" i="2"/>
  <c r="JJ12" i="17" s="1"/>
  <c r="NT15" i="2"/>
  <c r="NU15" i="2"/>
  <c r="JJ13" i="17" s="1"/>
  <c r="NT16" i="2"/>
  <c r="NU16" i="2"/>
  <c r="JJ14" i="17" s="1"/>
  <c r="NT17" i="2"/>
  <c r="NU17" i="2"/>
  <c r="JJ15" i="17" s="1"/>
  <c r="NT18" i="2"/>
  <c r="NU18" i="2"/>
  <c r="JJ16" i="17" s="1"/>
  <c r="NT19" i="2"/>
  <c r="NU19" i="2"/>
  <c r="JJ17" i="17" s="1"/>
  <c r="NT20" i="2"/>
  <c r="NU20" i="2"/>
  <c r="JJ18" i="17" s="1"/>
  <c r="NT21" i="2"/>
  <c r="NU21" i="2"/>
  <c r="JJ19" i="17" s="1"/>
  <c r="NT22" i="2"/>
  <c r="NU22" i="2"/>
  <c r="JJ20" i="17" s="1"/>
  <c r="NT23" i="2"/>
  <c r="NU23" i="2"/>
  <c r="JJ21" i="17" s="1"/>
  <c r="NT24" i="2"/>
  <c r="NU24" i="2"/>
  <c r="JJ22" i="17" s="1"/>
  <c r="NT25" i="2"/>
  <c r="NU25" i="2"/>
  <c r="JJ23" i="17" s="1"/>
  <c r="NT26" i="2"/>
  <c r="NU26" i="2"/>
  <c r="JJ24" i="17" s="1"/>
  <c r="NT27" i="2"/>
  <c r="NU27" i="2"/>
  <c r="JJ25" i="17" s="1"/>
  <c r="NT28" i="2"/>
  <c r="NU28" i="2"/>
  <c r="JJ26" i="17" s="1"/>
  <c r="NT29" i="2"/>
  <c r="NU29" i="2"/>
  <c r="JJ27" i="17" s="1"/>
  <c r="NU12" i="2"/>
  <c r="JJ10" i="17" s="1"/>
  <c r="NT12" i="2"/>
  <c r="PX33" i="2"/>
  <c r="PX32" i="2"/>
  <c r="PX13" i="2"/>
  <c r="PX14" i="2"/>
  <c r="PX15" i="2"/>
  <c r="PX16" i="2"/>
  <c r="PX17" i="2"/>
  <c r="PX18" i="2"/>
  <c r="PX19" i="2"/>
  <c r="PX20" i="2"/>
  <c r="PX21" i="2"/>
  <c r="PX22" i="2"/>
  <c r="PX23" i="2"/>
  <c r="PX24" i="2"/>
  <c r="PX25" i="2"/>
  <c r="PX26" i="2"/>
  <c r="PX27" i="2"/>
  <c r="PX28" i="2"/>
  <c r="PX29" i="2"/>
  <c r="PX12" i="2"/>
  <c r="NX34" i="2"/>
  <c r="NW34" i="2"/>
  <c r="NX30" i="2"/>
  <c r="NW30" i="2"/>
  <c r="NU34" i="2"/>
  <c r="NT34" i="2"/>
  <c r="NS12" i="2" l="1"/>
  <c r="NS21" i="2"/>
  <c r="NS19" i="2"/>
  <c r="NS17" i="2"/>
  <c r="NS15" i="2"/>
  <c r="NS13" i="2"/>
  <c r="NS28" i="2"/>
  <c r="NS26" i="2"/>
  <c r="NS24" i="2"/>
  <c r="NS22" i="2"/>
  <c r="NS20" i="2"/>
  <c r="NS18" i="2"/>
  <c r="NS16" i="2"/>
  <c r="NS14" i="2"/>
  <c r="NS29" i="2"/>
  <c r="NS23" i="2"/>
  <c r="NS27" i="2"/>
  <c r="NS25" i="2"/>
  <c r="NW37" i="2"/>
  <c r="NW42" i="2" s="1"/>
  <c r="NX37" i="2"/>
  <c r="NX42" i="2" s="1"/>
  <c r="DM36" i="17"/>
  <c r="JJ30" i="17"/>
  <c r="JJ32" i="17" s="1"/>
  <c r="JI32" i="17"/>
  <c r="JJ28" i="17"/>
  <c r="JM28" i="17"/>
  <c r="JN30" i="17"/>
  <c r="JN32" i="17" s="1"/>
  <c r="JN35" i="17" s="1"/>
  <c r="JM32" i="17"/>
  <c r="G245" i="8"/>
  <c r="I245" i="8" s="1"/>
  <c r="H248" i="8"/>
  <c r="G248" i="8"/>
  <c r="I248" i="8" s="1"/>
  <c r="NT30" i="2"/>
  <c r="NT37" i="2" s="1"/>
  <c r="NU30" i="2"/>
  <c r="NU37" i="2" s="1"/>
  <c r="NS30" i="2" l="1"/>
  <c r="NS37" i="2" s="1"/>
  <c r="JJ35" i="17"/>
  <c r="JM35" i="17"/>
  <c r="AI32" i="6"/>
  <c r="EG31" i="17" s="1"/>
  <c r="EH31" i="17" s="1"/>
  <c r="AH32" i="6"/>
  <c r="EC31" i="17" s="1"/>
  <c r="AI31" i="6"/>
  <c r="EG30" i="17" s="1"/>
  <c r="EH30" i="17" s="1"/>
  <c r="AH31" i="6"/>
  <c r="EC30" i="17" s="1"/>
  <c r="ED30" i="17" s="1"/>
  <c r="AI12" i="6"/>
  <c r="EG11" i="17" s="1"/>
  <c r="AI13" i="6"/>
  <c r="EG12" i="17" s="1"/>
  <c r="AI14" i="6"/>
  <c r="EG13" i="17" s="1"/>
  <c r="AI15" i="6"/>
  <c r="EG14" i="17" s="1"/>
  <c r="AI16" i="6"/>
  <c r="EG15" i="17" s="1"/>
  <c r="AI17" i="6"/>
  <c r="EG16" i="17" s="1"/>
  <c r="AI18" i="6"/>
  <c r="EG17" i="17" s="1"/>
  <c r="AI19" i="6"/>
  <c r="EG18" i="17" s="1"/>
  <c r="AI20" i="6"/>
  <c r="EG19" i="17" s="1"/>
  <c r="AI21" i="6"/>
  <c r="EG20" i="17" s="1"/>
  <c r="AI22" i="6"/>
  <c r="EG21" i="17" s="1"/>
  <c r="AI23" i="6"/>
  <c r="EG22" i="17" s="1"/>
  <c r="AI24" i="6"/>
  <c r="EG23" i="17" s="1"/>
  <c r="AI25" i="6"/>
  <c r="EG24" i="17" s="1"/>
  <c r="AI26" i="6"/>
  <c r="EG25" i="17" s="1"/>
  <c r="AI27" i="6"/>
  <c r="EG26" i="17" s="1"/>
  <c r="AI28" i="6"/>
  <c r="EG27" i="17" s="1"/>
  <c r="AI11" i="6"/>
  <c r="EG10" i="17" s="1"/>
  <c r="GR13" i="2"/>
  <c r="GS13" i="2"/>
  <c r="AH12" i="6" s="1"/>
  <c r="EC11" i="17" s="1"/>
  <c r="GR14" i="2"/>
  <c r="GS14" i="2"/>
  <c r="AH13" i="6" s="1"/>
  <c r="EC12" i="17" s="1"/>
  <c r="GR15" i="2"/>
  <c r="GS15" i="2"/>
  <c r="AH14" i="6" s="1"/>
  <c r="EC13" i="17" s="1"/>
  <c r="GR16" i="2"/>
  <c r="GS16" i="2"/>
  <c r="AH15" i="6" s="1"/>
  <c r="EC14" i="17" s="1"/>
  <c r="GR17" i="2"/>
  <c r="GS17" i="2"/>
  <c r="AH16" i="6" s="1"/>
  <c r="EC15" i="17" s="1"/>
  <c r="GR18" i="2"/>
  <c r="GS18" i="2"/>
  <c r="AH17" i="6" s="1"/>
  <c r="EC16" i="17" s="1"/>
  <c r="GR19" i="2"/>
  <c r="GS19" i="2"/>
  <c r="AH18" i="6" s="1"/>
  <c r="EC17" i="17" s="1"/>
  <c r="GR20" i="2"/>
  <c r="GS20" i="2"/>
  <c r="AH19" i="6" s="1"/>
  <c r="EC18" i="17" s="1"/>
  <c r="GR21" i="2"/>
  <c r="GS21" i="2"/>
  <c r="AH20" i="6" s="1"/>
  <c r="EC19" i="17" s="1"/>
  <c r="GR22" i="2"/>
  <c r="GS22" i="2"/>
  <c r="AH21" i="6" s="1"/>
  <c r="EC20" i="17" s="1"/>
  <c r="GR23" i="2"/>
  <c r="GS23" i="2"/>
  <c r="AH22" i="6" s="1"/>
  <c r="EC21" i="17" s="1"/>
  <c r="GR24" i="2"/>
  <c r="GS24" i="2"/>
  <c r="AH23" i="6" s="1"/>
  <c r="EC22" i="17" s="1"/>
  <c r="GR25" i="2"/>
  <c r="GS25" i="2"/>
  <c r="AH24" i="6" s="1"/>
  <c r="EC23" i="17" s="1"/>
  <c r="GR26" i="2"/>
  <c r="GS26" i="2"/>
  <c r="AH25" i="6" s="1"/>
  <c r="EC24" i="17" s="1"/>
  <c r="GR27" i="2"/>
  <c r="GS27" i="2"/>
  <c r="AH26" i="6" s="1"/>
  <c r="EC25" i="17" s="1"/>
  <c r="GR28" i="2"/>
  <c r="GS28" i="2"/>
  <c r="AH27" i="6" s="1"/>
  <c r="EC26" i="17" s="1"/>
  <c r="GR29" i="2"/>
  <c r="GS29" i="2"/>
  <c r="AH28" i="6" s="1"/>
  <c r="EC27" i="17" s="1"/>
  <c r="GS12" i="2"/>
  <c r="AH11" i="6" s="1"/>
  <c r="EC10" i="17" s="1"/>
  <c r="GR12" i="2"/>
  <c r="GQ33" i="2"/>
  <c r="GQ32" i="2"/>
  <c r="GV33" i="2"/>
  <c r="GV32" i="2"/>
  <c r="GV13" i="2"/>
  <c r="GV14" i="2"/>
  <c r="GV15" i="2"/>
  <c r="GV16" i="2"/>
  <c r="GV17" i="2"/>
  <c r="GV18" i="2"/>
  <c r="GV19" i="2"/>
  <c r="GV20" i="2"/>
  <c r="GV21" i="2"/>
  <c r="GV22" i="2"/>
  <c r="GV23" i="2"/>
  <c r="GV24" i="2"/>
  <c r="GV25" i="2"/>
  <c r="GV26" i="2"/>
  <c r="GV27" i="2"/>
  <c r="GV28" i="2"/>
  <c r="GV29" i="2"/>
  <c r="GV12" i="2"/>
  <c r="HH34" i="2"/>
  <c r="HG34" i="2"/>
  <c r="HH29" i="2"/>
  <c r="HG29" i="2"/>
  <c r="HH28" i="2"/>
  <c r="HG28" i="2"/>
  <c r="HH27" i="2"/>
  <c r="HG27" i="2"/>
  <c r="HH26" i="2"/>
  <c r="HG26" i="2"/>
  <c r="HH25" i="2"/>
  <c r="HG25" i="2"/>
  <c r="HH24" i="2"/>
  <c r="HG24" i="2"/>
  <c r="HH23" i="2"/>
  <c r="HG23" i="2"/>
  <c r="HH22" i="2"/>
  <c r="HG22" i="2"/>
  <c r="HH21" i="2"/>
  <c r="HG21" i="2"/>
  <c r="HH20" i="2"/>
  <c r="HG20" i="2"/>
  <c r="HH19" i="2"/>
  <c r="HG19" i="2"/>
  <c r="HH18" i="2"/>
  <c r="HG18" i="2"/>
  <c r="HH17" i="2"/>
  <c r="HG17" i="2"/>
  <c r="HH16" i="2"/>
  <c r="HG16" i="2"/>
  <c r="HH15" i="2"/>
  <c r="HG15" i="2"/>
  <c r="HH14" i="2"/>
  <c r="HG14" i="2"/>
  <c r="HH13" i="2"/>
  <c r="HG13" i="2"/>
  <c r="HH12" i="2"/>
  <c r="HG12" i="2"/>
  <c r="HC34" i="2"/>
  <c r="HB34" i="2"/>
  <c r="HL13" i="2"/>
  <c r="HM13" i="2"/>
  <c r="HL14" i="2"/>
  <c r="HM14" i="2"/>
  <c r="HL15" i="2"/>
  <c r="HM15" i="2"/>
  <c r="HL16" i="2"/>
  <c r="HM16" i="2"/>
  <c r="HL17" i="2"/>
  <c r="HM17" i="2"/>
  <c r="HL18" i="2"/>
  <c r="HM18" i="2"/>
  <c r="HL19" i="2"/>
  <c r="HM19" i="2"/>
  <c r="HL20" i="2"/>
  <c r="HM20" i="2"/>
  <c r="HL21" i="2"/>
  <c r="HM21" i="2"/>
  <c r="HL22" i="2"/>
  <c r="HM22" i="2"/>
  <c r="HL23" i="2"/>
  <c r="HM23" i="2"/>
  <c r="HL24" i="2"/>
  <c r="HM24" i="2"/>
  <c r="HL25" i="2"/>
  <c r="HM25" i="2"/>
  <c r="HL26" i="2"/>
  <c r="HM26" i="2"/>
  <c r="HL27" i="2"/>
  <c r="HM27" i="2"/>
  <c r="HL28" i="2"/>
  <c r="HM28" i="2"/>
  <c r="HL29" i="2"/>
  <c r="HM29" i="2"/>
  <c r="HM12" i="2"/>
  <c r="HL12" i="2"/>
  <c r="HP34" i="2"/>
  <c r="HP29" i="2"/>
  <c r="HP28" i="2"/>
  <c r="HP27" i="2"/>
  <c r="HP26" i="2"/>
  <c r="HP25" i="2"/>
  <c r="HP24" i="2"/>
  <c r="HP23" i="2"/>
  <c r="HP22" i="2"/>
  <c r="HP21" i="2"/>
  <c r="HP20" i="2"/>
  <c r="HP19" i="2"/>
  <c r="HP18" i="2"/>
  <c r="HP17" i="2"/>
  <c r="HP16" i="2"/>
  <c r="HP15" i="2"/>
  <c r="HP14" i="2"/>
  <c r="HP13" i="2"/>
  <c r="HP12" i="2"/>
  <c r="HK34" i="2"/>
  <c r="HF34" i="2"/>
  <c r="GI34" i="2"/>
  <c r="GH34" i="2"/>
  <c r="GI30" i="2"/>
  <c r="GH30" i="2"/>
  <c r="GN34" i="2"/>
  <c r="GM34" i="2"/>
  <c r="GN30" i="2"/>
  <c r="GM30" i="2"/>
  <c r="GS34" i="2"/>
  <c r="GR34" i="2"/>
  <c r="GX34" i="2"/>
  <c r="GW34" i="2"/>
  <c r="GX30" i="2"/>
  <c r="GW30" i="2"/>
  <c r="HM34" i="2"/>
  <c r="HL34" i="2"/>
  <c r="HR34" i="2"/>
  <c r="HQ34" i="2"/>
  <c r="HR30" i="2"/>
  <c r="HQ30" i="2"/>
  <c r="D8" i="8"/>
  <c r="D22" i="8"/>
  <c r="D23" i="8" s="1"/>
  <c r="D19" i="8"/>
  <c r="D20" i="8" s="1"/>
  <c r="HR37" i="2" l="1"/>
  <c r="GX37" i="2"/>
  <c r="HH30" i="2"/>
  <c r="HH37" i="2" s="1"/>
  <c r="HP30" i="2"/>
  <c r="HP37" i="2" s="1"/>
  <c r="GQ34" i="2"/>
  <c r="HQ37" i="2"/>
  <c r="EG28" i="17"/>
  <c r="GM37" i="2"/>
  <c r="EH32" i="17"/>
  <c r="EH35" i="17" s="1"/>
  <c r="EC32" i="17"/>
  <c r="ED31" i="17"/>
  <c r="ED32" i="17" s="1"/>
  <c r="ED35" i="17" s="1"/>
  <c r="EC28" i="17"/>
  <c r="EG32" i="17"/>
  <c r="GH37" i="2"/>
  <c r="GW37" i="2"/>
  <c r="HG30" i="2"/>
  <c r="HG37" i="2" s="1"/>
  <c r="GN37" i="2"/>
  <c r="GI37" i="2"/>
  <c r="HB28" i="2"/>
  <c r="HB22" i="2"/>
  <c r="HB20" i="2"/>
  <c r="HB14" i="2"/>
  <c r="HM30" i="2"/>
  <c r="HM37" i="2" s="1"/>
  <c r="HC24" i="2"/>
  <c r="HC22" i="2"/>
  <c r="HC20" i="2"/>
  <c r="HC16" i="2"/>
  <c r="HC14" i="2"/>
  <c r="HC29" i="2"/>
  <c r="HC27" i="2"/>
  <c r="HC25" i="2"/>
  <c r="HC23" i="2"/>
  <c r="HC21" i="2"/>
  <c r="HC19" i="2"/>
  <c r="HC17" i="2"/>
  <c r="HC15" i="2"/>
  <c r="HC13" i="2"/>
  <c r="HB26" i="2"/>
  <c r="HB24" i="2"/>
  <c r="HB18" i="2"/>
  <c r="HB16" i="2"/>
  <c r="HC12" i="2"/>
  <c r="GS30" i="2"/>
  <c r="GS37" i="2" s="1"/>
  <c r="HB29" i="2"/>
  <c r="HB27" i="2"/>
  <c r="HB25" i="2"/>
  <c r="HB23" i="2"/>
  <c r="HB21" i="2"/>
  <c r="HB19" i="2"/>
  <c r="HB17" i="2"/>
  <c r="HB15" i="2"/>
  <c r="HB13" i="2"/>
  <c r="HC18" i="2"/>
  <c r="HC26" i="2"/>
  <c r="HC28" i="2"/>
  <c r="GR30" i="2"/>
  <c r="GR37" i="2" s="1"/>
  <c r="HL30" i="2"/>
  <c r="HL37" i="2" s="1"/>
  <c r="HB12" i="2"/>
  <c r="AI33" i="6"/>
  <c r="AH29" i="6"/>
  <c r="AH33" i="6"/>
  <c r="J18" i="8"/>
  <c r="GN38" i="2" l="1"/>
  <c r="C30" i="7" s="1"/>
  <c r="GI38" i="2"/>
  <c r="E21" i="8" s="1"/>
  <c r="E22" i="8" s="1"/>
  <c r="E23" i="8" s="1"/>
  <c r="G23" i="8" s="1"/>
  <c r="I23" i="8" s="1"/>
  <c r="GH38" i="2"/>
  <c r="E18" i="8" s="1"/>
  <c r="G18" i="8" s="1"/>
  <c r="I18" i="8" s="1"/>
  <c r="GM38" i="2"/>
  <c r="EG35" i="17"/>
  <c r="EG36" i="17" s="1"/>
  <c r="EC35" i="17"/>
  <c r="EC36" i="17" s="1"/>
  <c r="HC30" i="2"/>
  <c r="HC37" i="2" s="1"/>
  <c r="HB30" i="2"/>
  <c r="HB37" i="2" s="1"/>
  <c r="AH36" i="6"/>
  <c r="F18" i="8" l="1"/>
  <c r="F19" i="8" s="1"/>
  <c r="GM42" i="2"/>
  <c r="F21" i="8"/>
  <c r="F22" i="8" s="1"/>
  <c r="H22" i="8" s="1"/>
  <c r="GN42" i="2"/>
  <c r="G21" i="8"/>
  <c r="I21" i="8" s="1"/>
  <c r="G22" i="8"/>
  <c r="I22" i="8" s="1"/>
  <c r="H21" i="8"/>
  <c r="E19" i="8"/>
  <c r="G19" i="8" s="1"/>
  <c r="I19" i="8" s="1"/>
  <c r="B30" i="7"/>
  <c r="F20" i="8" l="1"/>
  <c r="H18" i="8"/>
  <c r="H19" i="8"/>
  <c r="E20" i="8"/>
  <c r="G20" i="8" s="1"/>
  <c r="I20" i="8" s="1"/>
  <c r="F23" i="8"/>
  <c r="H23" i="8" s="1"/>
  <c r="T9" i="4"/>
  <c r="W9" i="4"/>
  <c r="X9" i="4"/>
  <c r="T10" i="4"/>
  <c r="W10" i="4"/>
  <c r="X10" i="4"/>
  <c r="T11" i="4"/>
  <c r="W11" i="4"/>
  <c r="X11" i="4"/>
  <c r="T12" i="4"/>
  <c r="W12" i="4"/>
  <c r="X12" i="4"/>
  <c r="T13" i="4"/>
  <c r="W13" i="4"/>
  <c r="X13" i="4"/>
  <c r="T14" i="4"/>
  <c r="W14" i="4"/>
  <c r="X14" i="4"/>
  <c r="T15" i="4"/>
  <c r="W15" i="4"/>
  <c r="X15" i="4"/>
  <c r="T16" i="4"/>
  <c r="W16" i="4"/>
  <c r="X16" i="4"/>
  <c r="T17" i="4"/>
  <c r="W17" i="4"/>
  <c r="X17" i="4"/>
  <c r="T18" i="4"/>
  <c r="W18" i="4"/>
  <c r="X18" i="4"/>
  <c r="T19" i="4"/>
  <c r="W19" i="4"/>
  <c r="X19" i="4"/>
  <c r="T20" i="4"/>
  <c r="W20" i="4"/>
  <c r="X20" i="4"/>
  <c r="T21" i="4"/>
  <c r="W21" i="4"/>
  <c r="X21" i="4"/>
  <c r="T22" i="4"/>
  <c r="W22" i="4"/>
  <c r="X22" i="4"/>
  <c r="T23" i="4"/>
  <c r="W23" i="4"/>
  <c r="X23" i="4"/>
  <c r="T24" i="4"/>
  <c r="W24" i="4"/>
  <c r="X24" i="4"/>
  <c r="T25" i="4"/>
  <c r="W25" i="4"/>
  <c r="X25" i="4"/>
  <c r="T8" i="4"/>
  <c r="X8" i="4"/>
  <c r="T29" i="3"/>
  <c r="T28" i="3"/>
  <c r="T9" i="3"/>
  <c r="T10" i="3"/>
  <c r="T11" i="3"/>
  <c r="T12" i="3"/>
  <c r="T13" i="3"/>
  <c r="T14" i="3"/>
  <c r="T15" i="3"/>
  <c r="T16" i="3"/>
  <c r="T17" i="3"/>
  <c r="T18" i="3"/>
  <c r="T19" i="3"/>
  <c r="T20" i="3"/>
  <c r="T21" i="3"/>
  <c r="T22" i="3"/>
  <c r="T23" i="3"/>
  <c r="T24" i="3"/>
  <c r="T25" i="3"/>
  <c r="T8" i="3"/>
  <c r="U30" i="3"/>
  <c r="U26" i="3"/>
  <c r="H20" i="8" l="1"/>
  <c r="V20" i="4"/>
  <c r="V16" i="4"/>
  <c r="V12" i="4"/>
  <c r="V25" i="4"/>
  <c r="V21" i="4"/>
  <c r="V17" i="4"/>
  <c r="V13" i="4"/>
  <c r="V9" i="4"/>
  <c r="V24" i="4"/>
  <c r="T26" i="3"/>
  <c r="V23" i="4"/>
  <c r="V19" i="4"/>
  <c r="V15" i="4"/>
  <c r="V11" i="4"/>
  <c r="X26" i="4"/>
  <c r="V22" i="4"/>
  <c r="V18" i="4"/>
  <c r="V14" i="4"/>
  <c r="V10" i="4"/>
  <c r="W8" i="4"/>
  <c r="U26" i="4"/>
  <c r="U36" i="3" s="1"/>
  <c r="Y26" i="4"/>
  <c r="T26" i="4"/>
  <c r="T36" i="3" s="1"/>
  <c r="V8" i="4"/>
  <c r="U33" i="3"/>
  <c r="T30" i="3"/>
  <c r="T33" i="3" l="1"/>
  <c r="T38" i="3" s="1"/>
  <c r="E77" i="8" s="1"/>
  <c r="U38" i="3"/>
  <c r="F77" i="8" s="1"/>
  <c r="V26" i="4"/>
  <c r="W26" i="4"/>
  <c r="U40" i="3" l="1"/>
  <c r="D70" i="8"/>
  <c r="F78" i="8"/>
  <c r="F79" i="8" s="1"/>
  <c r="E78" i="8"/>
  <c r="E79" i="8" s="1"/>
  <c r="D78" i="8"/>
  <c r="H77" i="8"/>
  <c r="G77" i="8"/>
  <c r="I77" i="8" s="1"/>
  <c r="H79" i="8" l="1"/>
  <c r="G78" i="8"/>
  <c r="I78" i="8" s="1"/>
  <c r="H78" i="8"/>
  <c r="D79" i="8"/>
  <c r="G79" i="8" s="1"/>
  <c r="I79" i="8" l="1"/>
  <c r="TR13" i="2" l="1"/>
  <c r="TQ13" i="2" s="1"/>
  <c r="TR14" i="2"/>
  <c r="TR15" i="2"/>
  <c r="TQ15" i="2" s="1"/>
  <c r="TW15" i="2" s="1"/>
  <c r="TR16" i="2"/>
  <c r="TQ16" i="2" s="1"/>
  <c r="TR17" i="2"/>
  <c r="TQ17" i="2" s="1"/>
  <c r="TR18" i="2"/>
  <c r="TR19" i="2"/>
  <c r="TR20" i="2"/>
  <c r="TQ20" i="2" s="1"/>
  <c r="TR21" i="2"/>
  <c r="TQ21" i="2" s="1"/>
  <c r="TW21" i="2" s="1"/>
  <c r="TR22" i="2"/>
  <c r="TQ22" i="2" s="1"/>
  <c r="TR23" i="2"/>
  <c r="TR24" i="2"/>
  <c r="TQ24" i="2" s="1"/>
  <c r="TW24" i="2" s="1"/>
  <c r="TU24" i="2" s="1"/>
  <c r="TR25" i="2"/>
  <c r="TQ25" i="2" s="1"/>
  <c r="TR26" i="2"/>
  <c r="TQ26" i="2" s="1"/>
  <c r="TW26" i="2" s="1"/>
  <c r="TU26" i="2" s="1"/>
  <c r="TR27" i="2"/>
  <c r="TQ27" i="2" s="1"/>
  <c r="TR28" i="2"/>
  <c r="TQ28" i="2" s="1"/>
  <c r="TW28" i="2" s="1"/>
  <c r="TU28" i="2" s="1"/>
  <c r="TR29" i="2"/>
  <c r="TQ29" i="2" s="1"/>
  <c r="TR12" i="2"/>
  <c r="TQ12" i="2" s="1"/>
  <c r="TN33" i="2"/>
  <c r="TN32" i="2"/>
  <c r="TN13" i="2"/>
  <c r="TN14" i="2"/>
  <c r="TN15" i="2"/>
  <c r="TN16" i="2"/>
  <c r="TN17" i="2"/>
  <c r="TN18" i="2"/>
  <c r="TN19" i="2"/>
  <c r="TN20" i="2"/>
  <c r="TN21" i="2"/>
  <c r="TN22" i="2"/>
  <c r="TN23" i="2"/>
  <c r="TN24" i="2"/>
  <c r="TN25" i="2"/>
  <c r="TN26" i="2"/>
  <c r="TN27" i="2"/>
  <c r="TN28" i="2"/>
  <c r="TN29" i="2"/>
  <c r="TN12" i="2"/>
  <c r="CU32" i="6"/>
  <c r="CU31" i="6"/>
  <c r="CU12" i="6"/>
  <c r="CU13" i="6"/>
  <c r="CU14" i="6"/>
  <c r="CU15" i="6"/>
  <c r="CU16" i="6"/>
  <c r="CU17" i="6"/>
  <c r="CU18" i="6"/>
  <c r="CU19" i="6"/>
  <c r="CU20" i="6"/>
  <c r="CU21" i="6"/>
  <c r="CU22" i="6"/>
  <c r="CU23" i="6"/>
  <c r="CU24" i="6"/>
  <c r="CU25" i="6"/>
  <c r="CU26" i="6"/>
  <c r="CU27" i="6"/>
  <c r="CU28" i="6"/>
  <c r="CU11" i="6"/>
  <c r="TX34" i="2"/>
  <c r="TW34" i="2"/>
  <c r="TV34" i="2"/>
  <c r="TU34" i="2"/>
  <c r="TT34" i="2"/>
  <c r="TR34" i="2"/>
  <c r="TP34" i="2"/>
  <c r="TS33" i="2"/>
  <c r="TQ33" i="2"/>
  <c r="TO33" i="2"/>
  <c r="TS32" i="2"/>
  <c r="TQ32" i="2"/>
  <c r="TO32" i="2"/>
  <c r="TO34" i="2" s="1"/>
  <c r="TT30" i="2"/>
  <c r="TP30" i="2"/>
  <c r="TP37" i="2" s="1"/>
  <c r="TS29" i="2"/>
  <c r="TX29" i="2" s="1"/>
  <c r="TO29" i="2"/>
  <c r="TS28" i="2"/>
  <c r="TX28" i="2" s="1"/>
  <c r="TO28" i="2"/>
  <c r="TS27" i="2"/>
  <c r="TO27" i="2"/>
  <c r="TS26" i="2"/>
  <c r="TX26" i="2" s="1"/>
  <c r="TO26" i="2"/>
  <c r="TS25" i="2"/>
  <c r="TO25" i="2"/>
  <c r="TS24" i="2"/>
  <c r="TX24" i="2" s="1"/>
  <c r="TO24" i="2"/>
  <c r="TS23" i="2"/>
  <c r="TO23" i="2"/>
  <c r="TS22" i="2"/>
  <c r="TX22" i="2" s="1"/>
  <c r="TO22" i="2"/>
  <c r="TS21" i="2"/>
  <c r="TX21" i="2" s="1"/>
  <c r="TO21" i="2"/>
  <c r="TS20" i="2"/>
  <c r="TX20" i="2" s="1"/>
  <c r="TO20" i="2"/>
  <c r="TS19" i="2"/>
  <c r="TO19" i="2"/>
  <c r="TS18" i="2"/>
  <c r="TX18" i="2" s="1"/>
  <c r="TO18" i="2"/>
  <c r="TS17" i="2"/>
  <c r="TO17" i="2"/>
  <c r="TS16" i="2"/>
  <c r="TX16" i="2" s="1"/>
  <c r="TO16" i="2"/>
  <c r="TS15" i="2"/>
  <c r="TO15" i="2"/>
  <c r="TS14" i="2"/>
  <c r="TX14" i="2" s="1"/>
  <c r="TO14" i="2"/>
  <c r="TS13" i="2"/>
  <c r="TO13" i="2"/>
  <c r="TS12" i="2"/>
  <c r="TX12" i="2" s="1"/>
  <c r="TO12" i="2"/>
  <c r="D12" i="11"/>
  <c r="J18" i="11"/>
  <c r="H18" i="11"/>
  <c r="G18" i="11"/>
  <c r="I18" i="11" s="1"/>
  <c r="J14" i="11"/>
  <c r="TQ34" i="2" l="1"/>
  <c r="TT37" i="2"/>
  <c r="TP38" i="2" s="1"/>
  <c r="C61" i="7" s="1"/>
  <c r="TS34" i="2"/>
  <c r="TV21" i="2"/>
  <c r="TV29" i="2"/>
  <c r="TV26" i="2"/>
  <c r="TV28" i="2"/>
  <c r="CT25" i="6"/>
  <c r="TM14" i="2"/>
  <c r="CT28" i="6"/>
  <c r="TM25" i="2"/>
  <c r="CT20" i="6"/>
  <c r="CT16" i="6"/>
  <c r="TM13" i="2"/>
  <c r="CT11" i="6"/>
  <c r="CT17" i="6"/>
  <c r="TM27" i="2"/>
  <c r="TM23" i="2"/>
  <c r="TM19" i="2"/>
  <c r="TM15" i="2"/>
  <c r="CT32" i="6"/>
  <c r="TM22" i="2"/>
  <c r="TM28" i="2"/>
  <c r="TM24" i="2"/>
  <c r="TM20" i="2"/>
  <c r="TM16" i="2"/>
  <c r="CT31" i="6"/>
  <c r="TM29" i="2"/>
  <c r="TM33" i="2"/>
  <c r="CT19" i="6"/>
  <c r="TM21" i="2"/>
  <c r="CT12" i="6"/>
  <c r="CT22" i="6"/>
  <c r="TM26" i="2"/>
  <c r="TM18" i="2"/>
  <c r="CT27" i="6"/>
  <c r="CT18" i="6"/>
  <c r="CT14" i="6"/>
  <c r="CT15" i="6"/>
  <c r="TQ19" i="2"/>
  <c r="TW19" i="2" s="1"/>
  <c r="CT26" i="6"/>
  <c r="CT23" i="6"/>
  <c r="CT24" i="6"/>
  <c r="TM17" i="2"/>
  <c r="TQ23" i="2"/>
  <c r="TW23" i="2" s="1"/>
  <c r="CT13" i="6"/>
  <c r="CT21" i="6"/>
  <c r="TQ14" i="2"/>
  <c r="TQ18" i="2"/>
  <c r="TW18" i="2" s="1"/>
  <c r="TN34" i="2"/>
  <c r="TN30" i="2"/>
  <c r="TO30" i="2"/>
  <c r="TO37" i="2" s="1"/>
  <c r="TR30" i="2"/>
  <c r="TR37" i="2" s="1"/>
  <c r="TW13" i="2"/>
  <c r="TW17" i="2"/>
  <c r="TW27" i="2"/>
  <c r="TW25" i="2"/>
  <c r="TW29" i="2"/>
  <c r="TM12" i="2"/>
  <c r="TW12" i="2"/>
  <c r="TU15" i="2"/>
  <c r="TW16" i="2"/>
  <c r="TW20" i="2"/>
  <c r="TU21" i="2"/>
  <c r="TW22" i="2"/>
  <c r="TM32" i="2"/>
  <c r="TV12" i="2"/>
  <c r="TX13" i="2"/>
  <c r="TV14" i="2"/>
  <c r="TX15" i="2"/>
  <c r="TV16" i="2"/>
  <c r="TX17" i="2"/>
  <c r="TV18" i="2"/>
  <c r="TX19" i="2"/>
  <c r="TV20" i="2"/>
  <c r="TV22" i="2"/>
  <c r="TX23" i="2"/>
  <c r="TV24" i="2"/>
  <c r="TX25" i="2"/>
  <c r="TX27" i="2"/>
  <c r="TS30" i="2"/>
  <c r="TS37" i="2" l="1"/>
  <c r="AR58" i="1" s="1"/>
  <c r="F19" i="11"/>
  <c r="TV23" i="2"/>
  <c r="TV19" i="2"/>
  <c r="TV15" i="2"/>
  <c r="TV25" i="2"/>
  <c r="TV27" i="2"/>
  <c r="TV17" i="2"/>
  <c r="TU19" i="2"/>
  <c r="TN37" i="2"/>
  <c r="TN38" i="2" s="1"/>
  <c r="TU17" i="2"/>
  <c r="TU27" i="2"/>
  <c r="TU16" i="2"/>
  <c r="TQ30" i="2"/>
  <c r="TQ37" i="2" s="1"/>
  <c r="TW14" i="2"/>
  <c r="TW30" i="2" s="1"/>
  <c r="TW37" i="2" s="1"/>
  <c r="TU22" i="2"/>
  <c r="TU29" i="2"/>
  <c r="TU18" i="2"/>
  <c r="TU23" i="2"/>
  <c r="TU20" i="2"/>
  <c r="TU25" i="2"/>
  <c r="TU13" i="2"/>
  <c r="TM34" i="2"/>
  <c r="TM30" i="2"/>
  <c r="TX30" i="2"/>
  <c r="TX37" i="2" s="1"/>
  <c r="TV13" i="2"/>
  <c r="TO38" i="2"/>
  <c r="TU12" i="2"/>
  <c r="TV30" i="2" l="1"/>
  <c r="TV37" i="2" s="1"/>
  <c r="E19" i="11"/>
  <c r="H19" i="11" s="1"/>
  <c r="B61" i="7"/>
  <c r="N58" i="1"/>
  <c r="TU14" i="2"/>
  <c r="TU30" i="2" s="1"/>
  <c r="TU37" i="2" s="1"/>
  <c r="TM37" i="2"/>
  <c r="G19" i="11" l="1"/>
  <c r="I19" i="11" s="1"/>
  <c r="BB9" i="4"/>
  <c r="BB10" i="4"/>
  <c r="BB11" i="4"/>
  <c r="BB12" i="4"/>
  <c r="BB13" i="4"/>
  <c r="BB14" i="4"/>
  <c r="BB15" i="4"/>
  <c r="BB16" i="4"/>
  <c r="BB17" i="4"/>
  <c r="BB18" i="4"/>
  <c r="BB19" i="4"/>
  <c r="BB20" i="4"/>
  <c r="BB21" i="4"/>
  <c r="BB22" i="4"/>
  <c r="BB23" i="4"/>
  <c r="BB24" i="4"/>
  <c r="BB25" i="4"/>
  <c r="BB8" i="4"/>
  <c r="AX9" i="4"/>
  <c r="AX10" i="4"/>
  <c r="AX11" i="4"/>
  <c r="AX12" i="4"/>
  <c r="AX13" i="4"/>
  <c r="AX14" i="4"/>
  <c r="AX15" i="4"/>
  <c r="AX16" i="4"/>
  <c r="AX17" i="4"/>
  <c r="AX18" i="4"/>
  <c r="AX19" i="4"/>
  <c r="AX20" i="4"/>
  <c r="AX21" i="4"/>
  <c r="AX22" i="4"/>
  <c r="AX23" i="4"/>
  <c r="AX24" i="4"/>
  <c r="AX25" i="4"/>
  <c r="AX8" i="4"/>
  <c r="BA26" i="4"/>
  <c r="BA29" i="4" s="1"/>
  <c r="BC25" i="4"/>
  <c r="BC24" i="4"/>
  <c r="BC23" i="4"/>
  <c r="BC22" i="4"/>
  <c r="BC21" i="4"/>
  <c r="BC20" i="4"/>
  <c r="BC19" i="4"/>
  <c r="BC17" i="4"/>
  <c r="BC16" i="4"/>
  <c r="BC15" i="4"/>
  <c r="BC14" i="4"/>
  <c r="BC13" i="4"/>
  <c r="BC12" i="4"/>
  <c r="BC11" i="4"/>
  <c r="BC10" i="4"/>
  <c r="BC9" i="4"/>
  <c r="BC8" i="4"/>
  <c r="AL9" i="3"/>
  <c r="AL10" i="3"/>
  <c r="AL11" i="3"/>
  <c r="AL12" i="3"/>
  <c r="AL13" i="3"/>
  <c r="AL14" i="3"/>
  <c r="AL15" i="3"/>
  <c r="AL16" i="3"/>
  <c r="AL17" i="3"/>
  <c r="AL18" i="3"/>
  <c r="AL19" i="3"/>
  <c r="AL20" i="3"/>
  <c r="AL21" i="3"/>
  <c r="AL22" i="3"/>
  <c r="AL23" i="3"/>
  <c r="AL24" i="3"/>
  <c r="AL25" i="3"/>
  <c r="AL28" i="3"/>
  <c r="AL29" i="3"/>
  <c r="AL8" i="3"/>
  <c r="CQ12" i="6"/>
  <c r="CQ13" i="6"/>
  <c r="CQ14" i="6"/>
  <c r="CQ15" i="6"/>
  <c r="CQ16" i="6"/>
  <c r="CQ17" i="6"/>
  <c r="CQ18" i="6"/>
  <c r="CQ19" i="6"/>
  <c r="CQ20" i="6"/>
  <c r="CQ21" i="6"/>
  <c r="CQ22" i="6"/>
  <c r="CQ23" i="6"/>
  <c r="CQ24" i="6"/>
  <c r="CQ25" i="6"/>
  <c r="CQ26" i="6"/>
  <c r="CQ27" i="6"/>
  <c r="CQ28" i="6"/>
  <c r="CQ31" i="6"/>
  <c r="CQ32" i="6"/>
  <c r="CQ11" i="6"/>
  <c r="SP13" i="2"/>
  <c r="SP14" i="2"/>
  <c r="SP15" i="2"/>
  <c r="SP16" i="2"/>
  <c r="SP17" i="2"/>
  <c r="SP18" i="2"/>
  <c r="SP19" i="2"/>
  <c r="SP20" i="2"/>
  <c r="SP21" i="2"/>
  <c r="SP22" i="2"/>
  <c r="SP23" i="2"/>
  <c r="SP24" i="2"/>
  <c r="SP25" i="2"/>
  <c r="SP26" i="2"/>
  <c r="SP27" i="2"/>
  <c r="SP28" i="2"/>
  <c r="SP29" i="2"/>
  <c r="SP32" i="2"/>
  <c r="SP33" i="2"/>
  <c r="SP12" i="2"/>
  <c r="SW34" i="2"/>
  <c r="SX34" i="2"/>
  <c r="SY34" i="2"/>
  <c r="SZ34" i="2"/>
  <c r="ST13" i="2"/>
  <c r="SS13" i="2" s="1"/>
  <c r="SY13" i="2" s="1"/>
  <c r="SW13" i="2" s="1"/>
  <c r="ST14" i="2"/>
  <c r="CP13" i="6" s="1"/>
  <c r="ST15" i="2"/>
  <c r="SS15" i="2" s="1"/>
  <c r="SY15" i="2" s="1"/>
  <c r="SW15" i="2" s="1"/>
  <c r="ST16" i="2"/>
  <c r="ST17" i="2"/>
  <c r="SS17" i="2" s="1"/>
  <c r="SY17" i="2" s="1"/>
  <c r="SW17" i="2" s="1"/>
  <c r="ST18" i="2"/>
  <c r="CP17" i="6" s="1"/>
  <c r="ST19" i="2"/>
  <c r="SS19" i="2" s="1"/>
  <c r="SY19" i="2" s="1"/>
  <c r="SW19" i="2" s="1"/>
  <c r="ST20" i="2"/>
  <c r="ST21" i="2"/>
  <c r="SS21" i="2" s="1"/>
  <c r="SY21" i="2" s="1"/>
  <c r="SW21" i="2" s="1"/>
  <c r="ST22" i="2"/>
  <c r="CP21" i="6" s="1"/>
  <c r="ST23" i="2"/>
  <c r="SS23" i="2" s="1"/>
  <c r="SY23" i="2" s="1"/>
  <c r="SW23" i="2" s="1"/>
  <c r="ST24" i="2"/>
  <c r="ST25" i="2"/>
  <c r="SS25" i="2" s="1"/>
  <c r="SY25" i="2" s="1"/>
  <c r="SW25" i="2" s="1"/>
  <c r="ST26" i="2"/>
  <c r="CP25" i="6" s="1"/>
  <c r="ST27" i="2"/>
  <c r="SS27" i="2" s="1"/>
  <c r="SY27" i="2" s="1"/>
  <c r="SW27" i="2" s="1"/>
  <c r="ST28" i="2"/>
  <c r="ST29" i="2"/>
  <c r="SS29" i="2" s="1"/>
  <c r="SY29" i="2" s="1"/>
  <c r="SW29" i="2" s="1"/>
  <c r="ST12" i="2"/>
  <c r="SS12" i="2" s="1"/>
  <c r="VF34" i="2"/>
  <c r="VG34" i="2"/>
  <c r="VH34" i="2"/>
  <c r="SR34" i="2"/>
  <c r="ST34" i="2"/>
  <c r="SV34" i="2"/>
  <c r="VF30" i="2"/>
  <c r="VG30" i="2"/>
  <c r="VH30" i="2"/>
  <c r="SR30" i="2"/>
  <c r="SV30" i="2"/>
  <c r="SV37" i="2" s="1"/>
  <c r="SU13" i="2"/>
  <c r="SZ13" i="2" s="1"/>
  <c r="SX13" i="2" s="1"/>
  <c r="SU14" i="2"/>
  <c r="SZ14" i="2" s="1"/>
  <c r="SX14" i="2" s="1"/>
  <c r="SU15" i="2"/>
  <c r="SZ15" i="2" s="1"/>
  <c r="SX15" i="2" s="1"/>
  <c r="SU16" i="2"/>
  <c r="SZ16" i="2" s="1"/>
  <c r="SX16" i="2" s="1"/>
  <c r="SU17" i="2"/>
  <c r="SZ17" i="2" s="1"/>
  <c r="SX17" i="2" s="1"/>
  <c r="SU18" i="2"/>
  <c r="SZ18" i="2" s="1"/>
  <c r="SX18" i="2" s="1"/>
  <c r="SU19" i="2"/>
  <c r="SZ19" i="2" s="1"/>
  <c r="SX19" i="2" s="1"/>
  <c r="SU20" i="2"/>
  <c r="SZ20" i="2" s="1"/>
  <c r="SX20" i="2" s="1"/>
  <c r="SU21" i="2"/>
  <c r="SZ21" i="2" s="1"/>
  <c r="SX21" i="2" s="1"/>
  <c r="SU22" i="2"/>
  <c r="SZ22" i="2" s="1"/>
  <c r="SX22" i="2" s="1"/>
  <c r="SU23" i="2"/>
  <c r="SZ23" i="2" s="1"/>
  <c r="SX23" i="2" s="1"/>
  <c r="SU24" i="2"/>
  <c r="SZ24" i="2" s="1"/>
  <c r="SX24" i="2" s="1"/>
  <c r="SU25" i="2"/>
  <c r="SZ25" i="2" s="1"/>
  <c r="SX25" i="2" s="1"/>
  <c r="SU26" i="2"/>
  <c r="SZ26" i="2" s="1"/>
  <c r="SX26" i="2" s="1"/>
  <c r="SU27" i="2"/>
  <c r="SZ27" i="2" s="1"/>
  <c r="SX27" i="2" s="1"/>
  <c r="SU28" i="2"/>
  <c r="SZ28" i="2" s="1"/>
  <c r="SX28" i="2" s="1"/>
  <c r="SU29" i="2"/>
  <c r="SZ29" i="2" s="1"/>
  <c r="SX29" i="2" s="1"/>
  <c r="SU32" i="2"/>
  <c r="SU34" i="2" s="1"/>
  <c r="SU33" i="2"/>
  <c r="SU12" i="2"/>
  <c r="SZ12" i="2" s="1"/>
  <c r="SX12" i="2" s="1"/>
  <c r="SQ13" i="2"/>
  <c r="SQ14" i="2"/>
  <c r="SQ15" i="2"/>
  <c r="SQ16" i="2"/>
  <c r="SQ17" i="2"/>
  <c r="SQ18" i="2"/>
  <c r="SQ19" i="2"/>
  <c r="SQ20" i="2"/>
  <c r="SQ21" i="2"/>
  <c r="SQ22" i="2"/>
  <c r="SQ23" i="2"/>
  <c r="SQ24" i="2"/>
  <c r="SQ25" i="2"/>
  <c r="SQ26" i="2"/>
  <c r="SQ27" i="2"/>
  <c r="SQ28" i="2"/>
  <c r="SQ29" i="2"/>
  <c r="SQ32" i="2"/>
  <c r="SQ34" i="2" s="1"/>
  <c r="SQ33" i="2"/>
  <c r="SQ12" i="2"/>
  <c r="H14" i="11"/>
  <c r="G14" i="11"/>
  <c r="I14" i="11" s="1"/>
  <c r="VF37" i="2" l="1"/>
  <c r="VH37" i="2"/>
  <c r="VH41" i="2" s="1"/>
  <c r="SO21" i="2"/>
  <c r="SO13" i="2"/>
  <c r="AZ16" i="4"/>
  <c r="AZ12" i="4"/>
  <c r="AZ14" i="4"/>
  <c r="CP31" i="6"/>
  <c r="CP32" i="6"/>
  <c r="SO27" i="2"/>
  <c r="SO23" i="2"/>
  <c r="SO22" i="2"/>
  <c r="SO28" i="2"/>
  <c r="SO24" i="2"/>
  <c r="SO20" i="2"/>
  <c r="SO16" i="2"/>
  <c r="SO26" i="2"/>
  <c r="SO18" i="2"/>
  <c r="SO14" i="2"/>
  <c r="SO29" i="2"/>
  <c r="SO25" i="2"/>
  <c r="SO17" i="2"/>
  <c r="CQ33" i="6"/>
  <c r="AZ25" i="4"/>
  <c r="AZ21" i="4"/>
  <c r="AZ10" i="4"/>
  <c r="AZ17" i="4"/>
  <c r="SO32" i="2"/>
  <c r="AZ13" i="4"/>
  <c r="VG37" i="2"/>
  <c r="SX30" i="2"/>
  <c r="SX37" i="2" s="1"/>
  <c r="CP27" i="6"/>
  <c r="CP15" i="6"/>
  <c r="CP23" i="6"/>
  <c r="CP19" i="6"/>
  <c r="SS20" i="2"/>
  <c r="SY20" i="2" s="1"/>
  <c r="SW20" i="2" s="1"/>
  <c r="AZ23" i="4"/>
  <c r="AZ15" i="4"/>
  <c r="AX26" i="4"/>
  <c r="AL36" i="3" s="1"/>
  <c r="BB26" i="4"/>
  <c r="BB29" i="4" s="1"/>
  <c r="AZ9" i="4"/>
  <c r="AZ11" i="4"/>
  <c r="AL26" i="3"/>
  <c r="SS16" i="2"/>
  <c r="SY16" i="2" s="1"/>
  <c r="SW16" i="2" s="1"/>
  <c r="SP30" i="2"/>
  <c r="CQ29" i="6"/>
  <c r="SO33" i="2"/>
  <c r="SS28" i="2"/>
  <c r="SY28" i="2" s="1"/>
  <c r="SW28" i="2" s="1"/>
  <c r="SU30" i="2"/>
  <c r="SU37" i="2" s="1"/>
  <c r="AR56" i="1" s="1"/>
  <c r="SP34" i="2"/>
  <c r="SQ30" i="2"/>
  <c r="SS24" i="2"/>
  <c r="SY24" i="2" s="1"/>
  <c r="SW24" i="2" s="1"/>
  <c r="SZ30" i="2"/>
  <c r="SZ37" i="2" s="1"/>
  <c r="CP20" i="6"/>
  <c r="CP12" i="6"/>
  <c r="CP26" i="6"/>
  <c r="CP18" i="6"/>
  <c r="CP14" i="6"/>
  <c r="CP24" i="6"/>
  <c r="CP28" i="6"/>
  <c r="CP16" i="6"/>
  <c r="SO19" i="2"/>
  <c r="SS22" i="2"/>
  <c r="SY22" i="2" s="1"/>
  <c r="SW22" i="2" s="1"/>
  <c r="SS18" i="2"/>
  <c r="SY18" i="2" s="1"/>
  <c r="SW18" i="2" s="1"/>
  <c r="SO15" i="2"/>
  <c r="AZ19" i="4"/>
  <c r="CP22" i="6"/>
  <c r="CP11" i="6"/>
  <c r="SO12" i="2"/>
  <c r="CO29" i="6" s="1"/>
  <c r="SS26" i="2"/>
  <c r="SY26" i="2" s="1"/>
  <c r="SW26" i="2" s="1"/>
  <c r="SS14" i="2"/>
  <c r="SY14" i="2" s="1"/>
  <c r="SW14" i="2" s="1"/>
  <c r="AZ24" i="4"/>
  <c r="AZ20" i="4"/>
  <c r="AZ22" i="4"/>
  <c r="BC18" i="4"/>
  <c r="BC26" i="4" s="1"/>
  <c r="BC29" i="4" s="1"/>
  <c r="AY26" i="4"/>
  <c r="AZ18" i="4"/>
  <c r="AZ8" i="4"/>
  <c r="SS34" i="2"/>
  <c r="SY12" i="2"/>
  <c r="ST30" i="2"/>
  <c r="ST37" i="2" s="1"/>
  <c r="SR37" i="2"/>
  <c r="SR38" i="2" s="1"/>
  <c r="SQ37" i="2"/>
  <c r="AY29" i="4" l="1"/>
  <c r="AM36" i="3"/>
  <c r="CO33" i="6"/>
  <c r="CO36" i="6" s="1"/>
  <c r="CP33" i="6"/>
  <c r="SO34" i="2"/>
  <c r="CQ36" i="6"/>
  <c r="AX29" i="4"/>
  <c r="SP37" i="2"/>
  <c r="SP38" i="2" s="1"/>
  <c r="SQ38" i="2"/>
  <c r="C59" i="7"/>
  <c r="F15" i="11"/>
  <c r="SS30" i="2"/>
  <c r="SS37" i="2" s="1"/>
  <c r="N56" i="1" s="1"/>
  <c r="SO30" i="2"/>
  <c r="SW12" i="2"/>
  <c r="SW30" i="2" s="1"/>
  <c r="SW37" i="2" s="1"/>
  <c r="SY30" i="2"/>
  <c r="SY37" i="2" s="1"/>
  <c r="CP29" i="6"/>
  <c r="AZ26" i="4"/>
  <c r="AZ29" i="4" s="1"/>
  <c r="SO37" i="2" l="1"/>
  <c r="CP36" i="6"/>
  <c r="E15" i="11"/>
  <c r="G15" i="11" s="1"/>
  <c r="B59" i="7"/>
  <c r="SO38" i="2"/>
  <c r="BA32" i="6"/>
  <c r="HA31" i="17" s="1"/>
  <c r="HB31" i="17" s="1"/>
  <c r="BA31" i="6"/>
  <c r="HA30" i="17" s="1"/>
  <c r="HB30" i="17" s="1"/>
  <c r="BA12" i="6"/>
  <c r="HA11" i="17" s="1"/>
  <c r="BA13" i="6"/>
  <c r="HA12" i="17" s="1"/>
  <c r="BA14" i="6"/>
  <c r="HA13" i="17" s="1"/>
  <c r="BA15" i="6"/>
  <c r="HA14" i="17" s="1"/>
  <c r="BA16" i="6"/>
  <c r="HA15" i="17" s="1"/>
  <c r="BA17" i="6"/>
  <c r="HA16" i="17" s="1"/>
  <c r="BA18" i="6"/>
  <c r="HA17" i="17" s="1"/>
  <c r="BA19" i="6"/>
  <c r="HA18" i="17" s="1"/>
  <c r="BA20" i="6"/>
  <c r="HA19" i="17" s="1"/>
  <c r="BA21" i="6"/>
  <c r="HA20" i="17" s="1"/>
  <c r="BA22" i="6"/>
  <c r="HA21" i="17" s="1"/>
  <c r="BA23" i="6"/>
  <c r="HA22" i="17" s="1"/>
  <c r="BA24" i="6"/>
  <c r="HA23" i="17" s="1"/>
  <c r="BA25" i="6"/>
  <c r="HA24" i="17" s="1"/>
  <c r="BA26" i="6"/>
  <c r="HA25" i="17" s="1"/>
  <c r="BA27" i="6"/>
  <c r="HA26" i="17" s="1"/>
  <c r="BA28" i="6"/>
  <c r="HA27" i="17" s="1"/>
  <c r="BA11" i="6"/>
  <c r="HA10" i="17" s="1"/>
  <c r="LI33" i="2"/>
  <c r="AZ32" i="6" s="1"/>
  <c r="GW31" i="17" s="1"/>
  <c r="GX31" i="17" s="1"/>
  <c r="LH33" i="2"/>
  <c r="LI32" i="2"/>
  <c r="LH32" i="2"/>
  <c r="LH13" i="2"/>
  <c r="LI13" i="2"/>
  <c r="AZ12" i="6" s="1"/>
  <c r="GW11" i="17" s="1"/>
  <c r="LH14" i="2"/>
  <c r="LI14" i="2"/>
  <c r="AZ13" i="6" s="1"/>
  <c r="GW12" i="17" s="1"/>
  <c r="LH15" i="2"/>
  <c r="LI15" i="2"/>
  <c r="AZ14" i="6" s="1"/>
  <c r="GW13" i="17" s="1"/>
  <c r="LH16" i="2"/>
  <c r="LI16" i="2"/>
  <c r="AZ15" i="6" s="1"/>
  <c r="GW14" i="17" s="1"/>
  <c r="LH17" i="2"/>
  <c r="LI17" i="2"/>
  <c r="AZ16" i="6" s="1"/>
  <c r="GW15" i="17" s="1"/>
  <c r="LH18" i="2"/>
  <c r="LI18" i="2"/>
  <c r="AZ17" i="6" s="1"/>
  <c r="GW16" i="17" s="1"/>
  <c r="LH19" i="2"/>
  <c r="LI19" i="2"/>
  <c r="AZ18" i="6" s="1"/>
  <c r="GW17" i="17" s="1"/>
  <c r="LH20" i="2"/>
  <c r="LI20" i="2"/>
  <c r="AZ19" i="6" s="1"/>
  <c r="GW18" i="17" s="1"/>
  <c r="LH21" i="2"/>
  <c r="LI21" i="2"/>
  <c r="AZ20" i="6" s="1"/>
  <c r="GW19" i="17" s="1"/>
  <c r="LH22" i="2"/>
  <c r="LI22" i="2"/>
  <c r="AZ21" i="6" s="1"/>
  <c r="GW20" i="17" s="1"/>
  <c r="LH23" i="2"/>
  <c r="LI23" i="2"/>
  <c r="AZ22" i="6" s="1"/>
  <c r="GW21" i="17" s="1"/>
  <c r="LH24" i="2"/>
  <c r="LI24" i="2"/>
  <c r="AZ23" i="6" s="1"/>
  <c r="GW22" i="17" s="1"/>
  <c r="LH25" i="2"/>
  <c r="LI25" i="2"/>
  <c r="AZ24" i="6" s="1"/>
  <c r="GW23" i="17" s="1"/>
  <c r="LH26" i="2"/>
  <c r="LI26" i="2"/>
  <c r="AZ25" i="6" s="1"/>
  <c r="GW24" i="17" s="1"/>
  <c r="LH27" i="2"/>
  <c r="LI27" i="2"/>
  <c r="AZ26" i="6" s="1"/>
  <c r="GW25" i="17" s="1"/>
  <c r="LH28" i="2"/>
  <c r="LI28" i="2"/>
  <c r="AZ27" i="6" s="1"/>
  <c r="GW26" i="17" s="1"/>
  <c r="LH29" i="2"/>
  <c r="LI29" i="2"/>
  <c r="AZ28" i="6" s="1"/>
  <c r="GW27" i="17" s="1"/>
  <c r="LI12" i="2"/>
  <c r="LH12" i="2"/>
  <c r="LN40" i="2"/>
  <c r="LO34" i="2"/>
  <c r="LN34" i="2"/>
  <c r="LO30" i="2"/>
  <c r="LN30" i="2"/>
  <c r="LO37" i="2" l="1"/>
  <c r="F260" i="8" s="1"/>
  <c r="F263" i="8" s="1"/>
  <c r="HB32" i="17"/>
  <c r="HB35" i="17" s="1"/>
  <c r="HA28" i="17"/>
  <c r="HA32" i="17"/>
  <c r="H15" i="11"/>
  <c r="LN37" i="2"/>
  <c r="F256" i="8" s="1"/>
  <c r="F259" i="8" s="1"/>
  <c r="I15" i="11"/>
  <c r="LI30" i="2"/>
  <c r="LO42" i="2"/>
  <c r="LI34" i="2"/>
  <c r="LH34" i="2"/>
  <c r="LH30" i="2"/>
  <c r="AZ11" i="6"/>
  <c r="GW10" i="17" s="1"/>
  <c r="GW28" i="17" s="1"/>
  <c r="AZ31" i="6"/>
  <c r="GW30" i="17" s="1"/>
  <c r="D263" i="8"/>
  <c r="H262" i="8"/>
  <c r="G262" i="8"/>
  <c r="I262" i="8" s="1"/>
  <c r="H261" i="8"/>
  <c r="G261" i="8"/>
  <c r="I261" i="8" s="1"/>
  <c r="D259" i="8"/>
  <c r="H258" i="8"/>
  <c r="G258" i="8"/>
  <c r="I258" i="8" s="1"/>
  <c r="H257" i="8"/>
  <c r="G257" i="8"/>
  <c r="I257" i="8" s="1"/>
  <c r="J256" i="8"/>
  <c r="C19" i="7" l="1"/>
  <c r="HA35" i="17"/>
  <c r="HA36" i="17" s="1"/>
  <c r="GW32" i="17"/>
  <c r="GW35" i="17" s="1"/>
  <c r="GX30" i="17"/>
  <c r="GX32" i="17" s="1"/>
  <c r="GX35" i="17" s="1"/>
  <c r="LI37" i="2"/>
  <c r="E260" i="8" s="1"/>
  <c r="LN42" i="2"/>
  <c r="LH37" i="2"/>
  <c r="E256" i="8" s="1"/>
  <c r="E259" i="8" s="1"/>
  <c r="H259" i="8" s="1"/>
  <c r="GW36" i="17" l="1"/>
  <c r="B19" i="7"/>
  <c r="G256" i="8"/>
  <c r="I256" i="8" s="1"/>
  <c r="H256" i="8"/>
  <c r="G259" i="8"/>
  <c r="I259" i="8" s="1"/>
  <c r="G260" i="8"/>
  <c r="I260" i="8" s="1"/>
  <c r="H260" i="8"/>
  <c r="E263" i="8"/>
  <c r="G263" i="8" l="1"/>
  <c r="I263" i="8" s="1"/>
  <c r="H263" i="8"/>
  <c r="D130" i="8" l="1"/>
  <c r="NN13" i="2" l="1"/>
  <c r="NR13" i="2" s="1"/>
  <c r="NN14" i="2"/>
  <c r="NR14" i="2" s="1"/>
  <c r="NN15" i="2"/>
  <c r="NR15" i="2" s="1"/>
  <c r="NN16" i="2"/>
  <c r="NR16" i="2" s="1"/>
  <c r="NN17" i="2"/>
  <c r="NR17" i="2" s="1"/>
  <c r="NN18" i="2"/>
  <c r="NR18" i="2" s="1"/>
  <c r="NN19" i="2"/>
  <c r="NR19" i="2" s="1"/>
  <c r="NN20" i="2"/>
  <c r="NR20" i="2" s="1"/>
  <c r="NN21" i="2"/>
  <c r="NR21" i="2" s="1"/>
  <c r="NN22" i="2"/>
  <c r="NR22" i="2" s="1"/>
  <c r="NN23" i="2"/>
  <c r="NR23" i="2" s="1"/>
  <c r="NN24" i="2"/>
  <c r="NR24" i="2" s="1"/>
  <c r="NN25" i="2"/>
  <c r="NR25" i="2" s="1"/>
  <c r="NN26" i="2"/>
  <c r="NR26" i="2" s="1"/>
  <c r="NN27" i="2"/>
  <c r="NR27" i="2" s="1"/>
  <c r="NN28" i="2"/>
  <c r="NR28" i="2" s="1"/>
  <c r="NN29" i="2"/>
  <c r="NR29" i="2" s="1"/>
  <c r="NN12" i="2"/>
  <c r="NR12" i="2" s="1"/>
  <c r="CL9" i="4"/>
  <c r="CM9" i="4" s="1"/>
  <c r="CL10" i="4"/>
  <c r="CM10" i="4" s="1"/>
  <c r="CL11" i="4"/>
  <c r="CM11" i="4" s="1"/>
  <c r="CL12" i="4"/>
  <c r="CM12" i="4" s="1"/>
  <c r="CL13" i="4"/>
  <c r="CM13" i="4" s="1"/>
  <c r="CL14" i="4"/>
  <c r="CM14" i="4" s="1"/>
  <c r="CL15" i="4"/>
  <c r="CM15" i="4" s="1"/>
  <c r="CL16" i="4"/>
  <c r="CM16" i="4" s="1"/>
  <c r="CL17" i="4"/>
  <c r="CM17" i="4" s="1"/>
  <c r="CL18" i="4"/>
  <c r="CM18" i="4" s="1"/>
  <c r="CL19" i="4"/>
  <c r="CM19" i="4" s="1"/>
  <c r="CL20" i="4"/>
  <c r="CM20" i="4" s="1"/>
  <c r="CL21" i="4"/>
  <c r="CM21" i="4" s="1"/>
  <c r="CL22" i="4"/>
  <c r="CM22" i="4" s="1"/>
  <c r="CL23" i="4"/>
  <c r="CL24" i="4"/>
  <c r="CM24" i="4" s="1"/>
  <c r="CL25" i="4"/>
  <c r="CL8" i="4"/>
  <c r="CM8" i="4" s="1"/>
  <c r="X29" i="3" l="1"/>
  <c r="X28" i="3"/>
  <c r="X9" i="3"/>
  <c r="X10" i="3"/>
  <c r="X11" i="3"/>
  <c r="X12" i="3"/>
  <c r="X13" i="3"/>
  <c r="X14" i="3"/>
  <c r="X15" i="3"/>
  <c r="X16" i="3"/>
  <c r="X17" i="3"/>
  <c r="X18" i="3"/>
  <c r="X19" i="3"/>
  <c r="X20" i="3"/>
  <c r="X21" i="3"/>
  <c r="X22" i="3"/>
  <c r="X23" i="3"/>
  <c r="X24" i="3"/>
  <c r="X25" i="3"/>
  <c r="X8" i="3"/>
  <c r="Y29" i="3" l="1"/>
  <c r="Y28" i="3"/>
  <c r="Y17" i="3"/>
  <c r="FZ34" i="2"/>
  <c r="AC32" i="6"/>
  <c r="DI31" i="17" s="1"/>
  <c r="AC31" i="6"/>
  <c r="DI30" i="17" s="1"/>
  <c r="DJ30" i="17" s="1"/>
  <c r="AC12" i="6"/>
  <c r="DI11" i="17" s="1"/>
  <c r="AC13" i="6"/>
  <c r="DI12" i="17" s="1"/>
  <c r="AC14" i="6"/>
  <c r="DI13" i="17" s="1"/>
  <c r="AC15" i="6"/>
  <c r="DI14" i="17" s="1"/>
  <c r="AC16" i="6"/>
  <c r="DI15" i="17" s="1"/>
  <c r="AC17" i="6"/>
  <c r="DI16" i="17" s="1"/>
  <c r="AC18" i="6"/>
  <c r="DI17" i="17" s="1"/>
  <c r="AC19" i="6"/>
  <c r="DI18" i="17" s="1"/>
  <c r="AC20" i="6"/>
  <c r="DI19" i="17" s="1"/>
  <c r="AC21" i="6"/>
  <c r="DI20" i="17" s="1"/>
  <c r="AC22" i="6"/>
  <c r="DI21" i="17" s="1"/>
  <c r="AC23" i="6"/>
  <c r="DI22" i="17" s="1"/>
  <c r="AC24" i="6"/>
  <c r="DI23" i="17" s="1"/>
  <c r="AC25" i="6"/>
  <c r="DI24" i="17" s="1"/>
  <c r="AC26" i="6"/>
  <c r="DI25" i="17" s="1"/>
  <c r="AC27" i="6"/>
  <c r="DI26" i="17" s="1"/>
  <c r="AC28" i="6"/>
  <c r="DI27" i="17" s="1"/>
  <c r="AC11" i="6"/>
  <c r="DI10" i="17" s="1"/>
  <c r="FR13" i="2"/>
  <c r="FS13" i="2"/>
  <c r="FS14" i="2"/>
  <c r="FR15" i="2"/>
  <c r="FS15" i="2"/>
  <c r="FR16" i="2"/>
  <c r="FS16" i="2"/>
  <c r="FR17" i="2"/>
  <c r="FS17" i="2"/>
  <c r="FR18" i="2"/>
  <c r="FS18" i="2"/>
  <c r="FR19" i="2"/>
  <c r="FS19" i="2"/>
  <c r="FR20" i="2"/>
  <c r="FS20" i="2"/>
  <c r="FR21" i="2"/>
  <c r="FS21" i="2"/>
  <c r="FR22" i="2"/>
  <c r="FS22" i="2"/>
  <c r="FR23" i="2"/>
  <c r="FS23" i="2"/>
  <c r="FR24" i="2"/>
  <c r="FS24" i="2"/>
  <c r="FR25" i="2"/>
  <c r="FS25" i="2"/>
  <c r="FR26" i="2"/>
  <c r="FS26" i="2"/>
  <c r="FR27" i="2"/>
  <c r="FS27" i="2"/>
  <c r="FR28" i="2"/>
  <c r="FS28" i="2"/>
  <c r="FR29" i="2"/>
  <c r="FS29" i="2"/>
  <c r="FS12" i="2"/>
  <c r="FR12" i="2"/>
  <c r="FV34" i="2"/>
  <c r="FU34" i="2"/>
  <c r="FT33" i="2"/>
  <c r="FQ33" i="2"/>
  <c r="FT32" i="2"/>
  <c r="FQ32" i="2"/>
  <c r="FQ34" i="2" s="1"/>
  <c r="FR34" i="2"/>
  <c r="FV30" i="2"/>
  <c r="FU30" i="2"/>
  <c r="FT29" i="2"/>
  <c r="FZ29" i="2" s="1"/>
  <c r="FT28" i="2"/>
  <c r="FT27" i="2"/>
  <c r="FZ27" i="2" s="1"/>
  <c r="FT26" i="2"/>
  <c r="FT25" i="2"/>
  <c r="FZ25" i="2" s="1"/>
  <c r="FT24" i="2"/>
  <c r="FT23" i="2"/>
  <c r="FZ23" i="2" s="1"/>
  <c r="FT22" i="2"/>
  <c r="FT21" i="2"/>
  <c r="FZ21" i="2" s="1"/>
  <c r="FT20" i="2"/>
  <c r="FT19" i="2"/>
  <c r="FZ19" i="2" s="1"/>
  <c r="FT18" i="2"/>
  <c r="FT17" i="2"/>
  <c r="FZ17" i="2" s="1"/>
  <c r="FT16" i="2"/>
  <c r="FT15" i="2"/>
  <c r="FZ15" i="2" s="1"/>
  <c r="FT14" i="2"/>
  <c r="FT13" i="2"/>
  <c r="FZ13" i="2" s="1"/>
  <c r="FT12" i="2"/>
  <c r="FZ12" i="2" s="1"/>
  <c r="FX12" i="2" s="1"/>
  <c r="E67" i="8"/>
  <c r="DI32" i="17" l="1"/>
  <c r="DJ31" i="17"/>
  <c r="DJ32" i="17" s="1"/>
  <c r="DJ35" i="17" s="1"/>
  <c r="DI28" i="17"/>
  <c r="FV37" i="2"/>
  <c r="FQ12" i="2"/>
  <c r="FY12" i="2" s="1"/>
  <c r="FW12" i="2" s="1"/>
  <c r="FQ28" i="2"/>
  <c r="FY28" i="2" s="1"/>
  <c r="FW28" i="2" s="1"/>
  <c r="FQ26" i="2"/>
  <c r="FY26" i="2" s="1"/>
  <c r="FW26" i="2" s="1"/>
  <c r="FQ24" i="2"/>
  <c r="FY24" i="2" s="1"/>
  <c r="FW24" i="2" s="1"/>
  <c r="FQ22" i="2"/>
  <c r="FY22" i="2" s="1"/>
  <c r="FW22" i="2" s="1"/>
  <c r="FQ20" i="2"/>
  <c r="FY20" i="2" s="1"/>
  <c r="FW20" i="2" s="1"/>
  <c r="FQ18" i="2"/>
  <c r="FY18" i="2" s="1"/>
  <c r="FW18" i="2" s="1"/>
  <c r="FQ16" i="2"/>
  <c r="FY16" i="2" s="1"/>
  <c r="FW16" i="2" s="1"/>
  <c r="FZ28" i="2"/>
  <c r="FX28" i="2" s="1"/>
  <c r="FZ26" i="2"/>
  <c r="FX26" i="2" s="1"/>
  <c r="FZ24" i="2"/>
  <c r="FX24" i="2" s="1"/>
  <c r="FZ22" i="2"/>
  <c r="FX22" i="2" s="1"/>
  <c r="FZ20" i="2"/>
  <c r="FX20" i="2" s="1"/>
  <c r="FZ18" i="2"/>
  <c r="FX18" i="2" s="1"/>
  <c r="FZ16" i="2"/>
  <c r="FX16" i="2" s="1"/>
  <c r="FZ14" i="2"/>
  <c r="FX14" i="2" s="1"/>
  <c r="FX29" i="2"/>
  <c r="FX27" i="2"/>
  <c r="FX25" i="2"/>
  <c r="FX23" i="2"/>
  <c r="FX21" i="2"/>
  <c r="FX19" i="2"/>
  <c r="FX17" i="2"/>
  <c r="FX15" i="2"/>
  <c r="FX13" i="2"/>
  <c r="FQ29" i="2"/>
  <c r="FY29" i="2" s="1"/>
  <c r="FW29" i="2" s="1"/>
  <c r="FQ27" i="2"/>
  <c r="FY27" i="2" s="1"/>
  <c r="FW27" i="2" s="1"/>
  <c r="FQ23" i="2"/>
  <c r="FY23" i="2" s="1"/>
  <c r="FW23" i="2" s="1"/>
  <c r="FQ21" i="2"/>
  <c r="FY21" i="2" s="1"/>
  <c r="FW21" i="2" s="1"/>
  <c r="FQ19" i="2"/>
  <c r="FY19" i="2" s="1"/>
  <c r="FW19" i="2" s="1"/>
  <c r="FQ17" i="2"/>
  <c r="FY17" i="2" s="1"/>
  <c r="FW17" i="2" s="1"/>
  <c r="FQ15" i="2"/>
  <c r="FY15" i="2" s="1"/>
  <c r="FW15" i="2" s="1"/>
  <c r="FQ13" i="2"/>
  <c r="FY13" i="2" s="1"/>
  <c r="FW13" i="2" s="1"/>
  <c r="FS30" i="2"/>
  <c r="FQ25" i="2"/>
  <c r="FY25" i="2" s="1"/>
  <c r="FW25" i="2" s="1"/>
  <c r="FY34" i="2"/>
  <c r="FX34" i="2"/>
  <c r="FW34" i="2"/>
  <c r="FT30" i="2"/>
  <c r="FU37" i="2"/>
  <c r="FT34" i="2"/>
  <c r="FS34" i="2"/>
  <c r="BJ9" i="4"/>
  <c r="BN9" i="4"/>
  <c r="BJ10" i="4"/>
  <c r="BN10" i="4"/>
  <c r="BJ11" i="4"/>
  <c r="BN11" i="4"/>
  <c r="BJ12" i="4"/>
  <c r="BN12" i="4"/>
  <c r="BJ13" i="4"/>
  <c r="BN13" i="4"/>
  <c r="BJ14" i="4"/>
  <c r="BN14" i="4"/>
  <c r="BN15" i="4"/>
  <c r="BJ16" i="4"/>
  <c r="BN16" i="4"/>
  <c r="BJ17" i="4"/>
  <c r="BN17" i="4"/>
  <c r="BN18" i="4"/>
  <c r="BJ19" i="4"/>
  <c r="BN19" i="4"/>
  <c r="BJ20" i="4"/>
  <c r="BN20" i="4"/>
  <c r="BJ21" i="4"/>
  <c r="BN21" i="4"/>
  <c r="BJ22" i="4"/>
  <c r="BN22" i="4"/>
  <c r="BJ23" i="4"/>
  <c r="BN23" i="4"/>
  <c r="BJ24" i="4"/>
  <c r="BN24" i="4"/>
  <c r="BJ25" i="4"/>
  <c r="BN25" i="4"/>
  <c r="BJ8" i="4"/>
  <c r="BN8" i="4"/>
  <c r="BO26" i="4"/>
  <c r="BO29" i="4" s="1"/>
  <c r="BM26" i="4"/>
  <c r="BM29" i="4" s="1"/>
  <c r="BK26" i="4"/>
  <c r="BK29" i="4" s="1"/>
  <c r="AL9" i="4"/>
  <c r="AO9" i="4"/>
  <c r="AP9" i="4"/>
  <c r="AL10" i="4"/>
  <c r="AO10" i="4"/>
  <c r="AP10" i="4"/>
  <c r="AL11" i="4"/>
  <c r="AO11" i="4"/>
  <c r="AP11" i="4"/>
  <c r="AL12" i="4"/>
  <c r="AO12" i="4"/>
  <c r="AP12" i="4"/>
  <c r="AL13" i="4"/>
  <c r="AO13" i="4"/>
  <c r="AP13" i="4"/>
  <c r="AL14" i="4"/>
  <c r="AO14" i="4"/>
  <c r="AP14" i="4"/>
  <c r="AL15" i="4"/>
  <c r="AO15" i="4"/>
  <c r="AP15" i="4"/>
  <c r="AL16" i="4"/>
  <c r="AO16" i="4"/>
  <c r="AP16" i="4"/>
  <c r="AL17" i="4"/>
  <c r="AO17" i="4"/>
  <c r="AP17" i="4"/>
  <c r="AL18" i="4"/>
  <c r="AO18" i="4"/>
  <c r="AP18" i="4"/>
  <c r="AL19" i="4"/>
  <c r="AO19" i="4"/>
  <c r="AP19" i="4"/>
  <c r="AL20" i="4"/>
  <c r="AO20" i="4"/>
  <c r="AP20" i="4"/>
  <c r="AL21" i="4"/>
  <c r="AO21" i="4"/>
  <c r="AP21" i="4"/>
  <c r="AL22" i="4"/>
  <c r="AO22" i="4"/>
  <c r="AP22" i="4"/>
  <c r="AL23" i="4"/>
  <c r="AO23" i="4"/>
  <c r="AP23" i="4"/>
  <c r="AL24" i="4"/>
  <c r="AO24" i="4"/>
  <c r="AP24" i="4"/>
  <c r="AL25" i="4"/>
  <c r="AO25" i="4"/>
  <c r="AP25" i="4"/>
  <c r="AL8" i="4"/>
  <c r="AP8" i="4"/>
  <c r="AQ26" i="4"/>
  <c r="AM26" i="4"/>
  <c r="AC36" i="3" s="1"/>
  <c r="AO8" i="4"/>
  <c r="FT37" i="2" l="1"/>
  <c r="AR51" i="1" s="1"/>
  <c r="DI35" i="17"/>
  <c r="DI36" i="17" s="1"/>
  <c r="FZ30" i="2"/>
  <c r="FZ37" i="2" s="1"/>
  <c r="FS37" i="2"/>
  <c r="AN17" i="4"/>
  <c r="AN13" i="4"/>
  <c r="AQ36" i="3"/>
  <c r="AN25" i="4"/>
  <c r="AN21" i="4"/>
  <c r="AN24" i="4"/>
  <c r="BL17" i="4"/>
  <c r="BL13" i="4"/>
  <c r="BL9" i="4"/>
  <c r="BL10" i="4"/>
  <c r="FX30" i="2"/>
  <c r="FX37" i="2" s="1"/>
  <c r="AN22" i="4"/>
  <c r="AN14" i="4"/>
  <c r="AN9" i="4"/>
  <c r="BL25" i="4"/>
  <c r="BL21" i="4"/>
  <c r="BL19" i="4"/>
  <c r="BL8" i="4"/>
  <c r="AN18" i="4"/>
  <c r="AN10" i="4"/>
  <c r="AN23" i="4"/>
  <c r="AN19" i="4"/>
  <c r="AN15" i="4"/>
  <c r="AN11" i="4"/>
  <c r="BL20" i="4"/>
  <c r="BL11" i="4"/>
  <c r="AL26" i="4"/>
  <c r="AB36" i="3" s="1"/>
  <c r="BL24" i="4"/>
  <c r="BL22" i="4"/>
  <c r="AN20" i="4"/>
  <c r="AN16" i="4"/>
  <c r="AN12" i="4"/>
  <c r="BL23" i="4"/>
  <c r="BL16" i="4"/>
  <c r="BL14" i="4"/>
  <c r="BL12" i="4"/>
  <c r="BN26" i="4"/>
  <c r="BN29" i="4" s="1"/>
  <c r="AP26" i="4"/>
  <c r="AO26" i="4"/>
  <c r="AN8" i="4"/>
  <c r="AN26" i="4" l="1"/>
  <c r="D440" i="8" l="1"/>
  <c r="D436" i="8" s="1"/>
  <c r="F384" i="8"/>
  <c r="D384" i="8"/>
  <c r="E321" i="8"/>
  <c r="H321" i="8" s="1"/>
  <c r="D322" i="8"/>
  <c r="D323" i="8" s="1"/>
  <c r="F322" i="8"/>
  <c r="D311" i="8"/>
  <c r="E292" i="8"/>
  <c r="E14" i="8"/>
  <c r="D417" i="8"/>
  <c r="D414" i="8"/>
  <c r="D399" i="8"/>
  <c r="D396" i="8"/>
  <c r="C6" i="16" s="1"/>
  <c r="D191" i="8"/>
  <c r="G189" i="8"/>
  <c r="C7" i="16" l="1"/>
  <c r="E322" i="8"/>
  <c r="G322" i="8" s="1"/>
  <c r="I322" i="8" s="1"/>
  <c r="G321" i="8"/>
  <c r="I321" i="8" s="1"/>
  <c r="F323" i="8"/>
  <c r="D325" i="8"/>
  <c r="H322" i="8" l="1"/>
  <c r="E323" i="8"/>
  <c r="G323" i="8" s="1"/>
  <c r="I323" i="8" s="1"/>
  <c r="D53" i="8"/>
  <c r="H323" i="8" l="1"/>
  <c r="F379" i="8"/>
  <c r="F380" i="8"/>
  <c r="D380" i="8"/>
  <c r="D379" i="8"/>
  <c r="QB13" i="2" l="1"/>
  <c r="QC13" i="2"/>
  <c r="QB14" i="2"/>
  <c r="QC14" i="2"/>
  <c r="QB15" i="2"/>
  <c r="QC15" i="2"/>
  <c r="QB16" i="2"/>
  <c r="QC16" i="2"/>
  <c r="QB17" i="2"/>
  <c r="QC17" i="2"/>
  <c r="QB18" i="2"/>
  <c r="QA18" i="2" s="1"/>
  <c r="QC18" i="2"/>
  <c r="QB19" i="2"/>
  <c r="QC19" i="2"/>
  <c r="QB20" i="2"/>
  <c r="QA20" i="2" s="1"/>
  <c r="QC20" i="2"/>
  <c r="QB21" i="2"/>
  <c r="QC21" i="2"/>
  <c r="QB22" i="2"/>
  <c r="QA22" i="2" s="1"/>
  <c r="QC22" i="2"/>
  <c r="QB23" i="2"/>
  <c r="QC23" i="2"/>
  <c r="QB24" i="2"/>
  <c r="QA24" i="2" s="1"/>
  <c r="QC24" i="2"/>
  <c r="QB25" i="2"/>
  <c r="QC25" i="2"/>
  <c r="QB26" i="2"/>
  <c r="QA26" i="2" s="1"/>
  <c r="QC26" i="2"/>
  <c r="QB27" i="2"/>
  <c r="QC27" i="2"/>
  <c r="QB28" i="2"/>
  <c r="QA28" i="2" s="1"/>
  <c r="QC28" i="2"/>
  <c r="QB29" i="2"/>
  <c r="QC29" i="2"/>
  <c r="QC12" i="2"/>
  <c r="QB12" i="2"/>
  <c r="QL34" i="2"/>
  <c r="QK34" i="2"/>
  <c r="QL29" i="2"/>
  <c r="JG27" i="17" s="1"/>
  <c r="QK29" i="2"/>
  <c r="QL28" i="2"/>
  <c r="JG26" i="17" s="1"/>
  <c r="QK28" i="2"/>
  <c r="QL27" i="2"/>
  <c r="JG25" i="17" s="1"/>
  <c r="QK27" i="2"/>
  <c r="QL26" i="2"/>
  <c r="JG24" i="17" s="1"/>
  <c r="QK26" i="2"/>
  <c r="QL25" i="2"/>
  <c r="JG23" i="17" s="1"/>
  <c r="QK25" i="2"/>
  <c r="QL24" i="2"/>
  <c r="JG22" i="17" s="1"/>
  <c r="QK24" i="2"/>
  <c r="QL23" i="2"/>
  <c r="JG21" i="17" s="1"/>
  <c r="QK23" i="2"/>
  <c r="QL22" i="2"/>
  <c r="JG20" i="17" s="1"/>
  <c r="QK22" i="2"/>
  <c r="QL21" i="2"/>
  <c r="JG19" i="17" s="1"/>
  <c r="QK21" i="2"/>
  <c r="QL20" i="2"/>
  <c r="JG18" i="17" s="1"/>
  <c r="QK20" i="2"/>
  <c r="QL19" i="2"/>
  <c r="JG17" i="17" s="1"/>
  <c r="QK19" i="2"/>
  <c r="QL18" i="2"/>
  <c r="JG16" i="17" s="1"/>
  <c r="QK18" i="2"/>
  <c r="QL17" i="2"/>
  <c r="JG15" i="17" s="1"/>
  <c r="QK17" i="2"/>
  <c r="QL16" i="2"/>
  <c r="JG14" i="17" s="1"/>
  <c r="QK16" i="2"/>
  <c r="QL15" i="2"/>
  <c r="JG13" i="17" s="1"/>
  <c r="QK15" i="2"/>
  <c r="QL14" i="2"/>
  <c r="JG12" i="17" s="1"/>
  <c r="QK14" i="2"/>
  <c r="QL13" i="2"/>
  <c r="JG11" i="17" s="1"/>
  <c r="QK13" i="2"/>
  <c r="QL12" i="2"/>
  <c r="JG10" i="17" s="1"/>
  <c r="QK12" i="2"/>
  <c r="QI34" i="2"/>
  <c r="QH34" i="2"/>
  <c r="QN13" i="2"/>
  <c r="QO13" i="2"/>
  <c r="JD11" i="17" s="1"/>
  <c r="QN14" i="2"/>
  <c r="QM14" i="2" s="1"/>
  <c r="QO14" i="2"/>
  <c r="JD12" i="17" s="1"/>
  <c r="QN15" i="2"/>
  <c r="QO15" i="2"/>
  <c r="JD13" i="17" s="1"/>
  <c r="QN16" i="2"/>
  <c r="QO16" i="2"/>
  <c r="JD14" i="17" s="1"/>
  <c r="QN17" i="2"/>
  <c r="QO17" i="2"/>
  <c r="JD15" i="17" s="1"/>
  <c r="QN18" i="2"/>
  <c r="QO18" i="2"/>
  <c r="JD16" i="17" s="1"/>
  <c r="QN19" i="2"/>
  <c r="QO19" i="2"/>
  <c r="JD17" i="17" s="1"/>
  <c r="QN20" i="2"/>
  <c r="QO20" i="2"/>
  <c r="JD18" i="17" s="1"/>
  <c r="QN21" i="2"/>
  <c r="QO21" i="2"/>
  <c r="JD19" i="17" s="1"/>
  <c r="QN22" i="2"/>
  <c r="QO22" i="2"/>
  <c r="JD20" i="17" s="1"/>
  <c r="QN23" i="2"/>
  <c r="QO23" i="2"/>
  <c r="JD21" i="17" s="1"/>
  <c r="QN24" i="2"/>
  <c r="QO24" i="2"/>
  <c r="JD22" i="17" s="1"/>
  <c r="QN25" i="2"/>
  <c r="QO25" i="2"/>
  <c r="JD23" i="17" s="1"/>
  <c r="QN26" i="2"/>
  <c r="QO26" i="2"/>
  <c r="JD24" i="17" s="1"/>
  <c r="QN27" i="2"/>
  <c r="QO27" i="2"/>
  <c r="JD25" i="17" s="1"/>
  <c r="QN28" i="2"/>
  <c r="QO28" i="2"/>
  <c r="JD26" i="17" s="1"/>
  <c r="QN29" i="2"/>
  <c r="QO29" i="2"/>
  <c r="JD27" i="17" s="1"/>
  <c r="QO12" i="2"/>
  <c r="QN12" i="2"/>
  <c r="QA16" i="2" l="1"/>
  <c r="QA14" i="2"/>
  <c r="QJ12" i="2"/>
  <c r="QJ14" i="2"/>
  <c r="QJ16" i="2"/>
  <c r="QJ18" i="2"/>
  <c r="QJ20" i="2"/>
  <c r="QJ22" i="2"/>
  <c r="QJ24" i="2"/>
  <c r="QJ26" i="2"/>
  <c r="QJ28" i="2"/>
  <c r="QJ13" i="2"/>
  <c r="QJ15" i="2"/>
  <c r="QJ17" i="2"/>
  <c r="QJ19" i="2"/>
  <c r="QJ21" i="2"/>
  <c r="QJ23" i="2"/>
  <c r="QJ25" i="2"/>
  <c r="QJ27" i="2"/>
  <c r="QJ29" i="2"/>
  <c r="QM20" i="2"/>
  <c r="QM18" i="2"/>
  <c r="QM12" i="2"/>
  <c r="QA29" i="2"/>
  <c r="QA27" i="2"/>
  <c r="QA25" i="2"/>
  <c r="QA23" i="2"/>
  <c r="QA21" i="2"/>
  <c r="QA19" i="2"/>
  <c r="QA17" i="2"/>
  <c r="QA15" i="2"/>
  <c r="QA13" i="2"/>
  <c r="QM16" i="2"/>
  <c r="QH29" i="2"/>
  <c r="QM29" i="2"/>
  <c r="QH27" i="2"/>
  <c r="QM27" i="2"/>
  <c r="QH25" i="2"/>
  <c r="QM25" i="2"/>
  <c r="QH23" i="2"/>
  <c r="QM23" i="2"/>
  <c r="QH21" i="2"/>
  <c r="QM21" i="2"/>
  <c r="QH19" i="2"/>
  <c r="QM19" i="2"/>
  <c r="QH17" i="2"/>
  <c r="QM17" i="2"/>
  <c r="QH15" i="2"/>
  <c r="QM15" i="2"/>
  <c r="QH13" i="2"/>
  <c r="QM13" i="2"/>
  <c r="QM28" i="2"/>
  <c r="QM26" i="2"/>
  <c r="QM24" i="2"/>
  <c r="QM22" i="2"/>
  <c r="QA12" i="2"/>
  <c r="JG28" i="17"/>
  <c r="JG35" i="17" s="1"/>
  <c r="QI12" i="2"/>
  <c r="JC10" i="17" s="1"/>
  <c r="JD10" i="17"/>
  <c r="JD28" i="17" s="1"/>
  <c r="JD35" i="17" s="1"/>
  <c r="PX34" i="2"/>
  <c r="PX30" i="2"/>
  <c r="QK30" i="2"/>
  <c r="QK37" i="2" s="1"/>
  <c r="QI28" i="2"/>
  <c r="JC26" i="17" s="1"/>
  <c r="QI14" i="2"/>
  <c r="JC12" i="17" s="1"/>
  <c r="QH12" i="2"/>
  <c r="QI26" i="2"/>
  <c r="JC24" i="17" s="1"/>
  <c r="QI24" i="2"/>
  <c r="JC22" i="17" s="1"/>
  <c r="QI22" i="2"/>
  <c r="JC20" i="17" s="1"/>
  <c r="QI20" i="2"/>
  <c r="JC18" i="17" s="1"/>
  <c r="QI18" i="2"/>
  <c r="JC16" i="17" s="1"/>
  <c r="QI16" i="2"/>
  <c r="JC14" i="17" s="1"/>
  <c r="QL30" i="2"/>
  <c r="QL37" i="2" s="1"/>
  <c r="QI29" i="2"/>
  <c r="JC27" i="17" s="1"/>
  <c r="QI27" i="2"/>
  <c r="JC25" i="17" s="1"/>
  <c r="QI25" i="2"/>
  <c r="JC23" i="17" s="1"/>
  <c r="QI23" i="2"/>
  <c r="JC21" i="17" s="1"/>
  <c r="QI21" i="2"/>
  <c r="JC19" i="17" s="1"/>
  <c r="QI19" i="2"/>
  <c r="JC17" i="17" s="1"/>
  <c r="QI17" i="2"/>
  <c r="JC15" i="17" s="1"/>
  <c r="QI15" i="2"/>
  <c r="JC13" i="17" s="1"/>
  <c r="QI13" i="2"/>
  <c r="JC11" i="17" s="1"/>
  <c r="QH28" i="2"/>
  <c r="QH26" i="2"/>
  <c r="QH24" i="2"/>
  <c r="QH22" i="2"/>
  <c r="QH20" i="2"/>
  <c r="QH18" i="2"/>
  <c r="QH16" i="2"/>
  <c r="QH14" i="2"/>
  <c r="QJ30" i="2" l="1"/>
  <c r="QJ37" i="2" s="1"/>
  <c r="QG18" i="2"/>
  <c r="QG26" i="2"/>
  <c r="QG22" i="2"/>
  <c r="QG14" i="2"/>
  <c r="QA30" i="2"/>
  <c r="QA37" i="2" s="1"/>
  <c r="QG20" i="2"/>
  <c r="QG28" i="2"/>
  <c r="QM30" i="2"/>
  <c r="QM37" i="2" s="1"/>
  <c r="QG12" i="2"/>
  <c r="QG13" i="2"/>
  <c r="QG17" i="2"/>
  <c r="QG21" i="2"/>
  <c r="QG25" i="2"/>
  <c r="QG29" i="2"/>
  <c r="QG15" i="2"/>
  <c r="QG19" i="2"/>
  <c r="QG23" i="2"/>
  <c r="QG27" i="2"/>
  <c r="QG16" i="2"/>
  <c r="QG24" i="2"/>
  <c r="JC28" i="17"/>
  <c r="JC35" i="17" s="1"/>
  <c r="PX37" i="2"/>
  <c r="QH30" i="2"/>
  <c r="QH37" i="2" s="1"/>
  <c r="QI30" i="2"/>
  <c r="QI37" i="2" s="1"/>
  <c r="QG30" i="2" l="1"/>
  <c r="QG37" i="2" s="1"/>
  <c r="D389" i="8"/>
  <c r="D387" i="8"/>
  <c r="E430" i="8"/>
  <c r="F430" i="8"/>
  <c r="G430" i="8"/>
  <c r="D430" i="8"/>
  <c r="D428" i="8"/>
  <c r="BI32" i="6" l="1"/>
  <c r="IW31" i="17" s="1"/>
  <c r="IX31" i="17" s="1"/>
  <c r="BH32" i="6"/>
  <c r="IS31" i="17" s="1"/>
  <c r="IT31" i="17" s="1"/>
  <c r="BI31" i="6"/>
  <c r="IW30" i="17" s="1"/>
  <c r="BH31" i="6"/>
  <c r="IS30" i="17" s="1"/>
  <c r="BI12" i="6"/>
  <c r="IW11" i="17" s="1"/>
  <c r="BI13" i="6"/>
  <c r="IW12" i="17" s="1"/>
  <c r="BI14" i="6"/>
  <c r="IW13" i="17" s="1"/>
  <c r="BI15" i="6"/>
  <c r="IW14" i="17" s="1"/>
  <c r="BI16" i="6"/>
  <c r="IW15" i="17" s="1"/>
  <c r="BI17" i="6"/>
  <c r="IW16" i="17" s="1"/>
  <c r="BI18" i="6"/>
  <c r="IW17" i="17" s="1"/>
  <c r="BI19" i="6"/>
  <c r="IW18" i="17" s="1"/>
  <c r="BI20" i="6"/>
  <c r="IW19" i="17" s="1"/>
  <c r="BI21" i="6"/>
  <c r="IW20" i="17" s="1"/>
  <c r="BI22" i="6"/>
  <c r="IW21" i="17" s="1"/>
  <c r="BI23" i="6"/>
  <c r="IW22" i="17" s="1"/>
  <c r="BI24" i="6"/>
  <c r="IW23" i="17" s="1"/>
  <c r="BI25" i="6"/>
  <c r="IW24" i="17" s="1"/>
  <c r="BI26" i="6"/>
  <c r="IW25" i="17" s="1"/>
  <c r="BI27" i="6"/>
  <c r="IW26" i="17" s="1"/>
  <c r="BI28" i="6"/>
  <c r="IW27" i="17" s="1"/>
  <c r="BI11" i="6"/>
  <c r="IW10" i="17" s="1"/>
  <c r="NZ13" i="2"/>
  <c r="OA13" i="2"/>
  <c r="BH12" i="6" s="1"/>
  <c r="IS11" i="17" s="1"/>
  <c r="OD13" i="2"/>
  <c r="OE13" i="2"/>
  <c r="BL12" i="6" s="1"/>
  <c r="JI11" i="17" s="1"/>
  <c r="NZ14" i="2"/>
  <c r="OA14" i="2"/>
  <c r="BH13" i="6" s="1"/>
  <c r="IS12" i="17" s="1"/>
  <c r="OD14" i="2"/>
  <c r="OE14" i="2"/>
  <c r="BL13" i="6" s="1"/>
  <c r="JI12" i="17" s="1"/>
  <c r="NZ15" i="2"/>
  <c r="OA15" i="2"/>
  <c r="BH14" i="6" s="1"/>
  <c r="IS13" i="17" s="1"/>
  <c r="OD15" i="2"/>
  <c r="OE15" i="2"/>
  <c r="BL14" i="6" s="1"/>
  <c r="JI13" i="17" s="1"/>
  <c r="NZ16" i="2"/>
  <c r="OA16" i="2"/>
  <c r="BH15" i="6" s="1"/>
  <c r="IS14" i="17" s="1"/>
  <c r="NZ17" i="2"/>
  <c r="OA17" i="2"/>
  <c r="BH16" i="6" s="1"/>
  <c r="IS15" i="17" s="1"/>
  <c r="OD17" i="2"/>
  <c r="OE17" i="2"/>
  <c r="BL16" i="6" s="1"/>
  <c r="JI15" i="17" s="1"/>
  <c r="NZ18" i="2"/>
  <c r="OA18" i="2"/>
  <c r="BH17" i="6" s="1"/>
  <c r="IS16" i="17" s="1"/>
  <c r="OD18" i="2"/>
  <c r="OE18" i="2"/>
  <c r="BL17" i="6" s="1"/>
  <c r="JI16" i="17" s="1"/>
  <c r="NZ19" i="2"/>
  <c r="OA19" i="2"/>
  <c r="BH18" i="6" s="1"/>
  <c r="IS17" i="17" s="1"/>
  <c r="OD19" i="2"/>
  <c r="OE19" i="2"/>
  <c r="BL18" i="6" s="1"/>
  <c r="JI17" i="17" s="1"/>
  <c r="NZ20" i="2"/>
  <c r="OA20" i="2"/>
  <c r="BH19" i="6" s="1"/>
  <c r="IS18" i="17" s="1"/>
  <c r="OD20" i="2"/>
  <c r="OE20" i="2"/>
  <c r="BL19" i="6" s="1"/>
  <c r="JI18" i="17" s="1"/>
  <c r="NZ21" i="2"/>
  <c r="OA21" i="2"/>
  <c r="BH20" i="6" s="1"/>
  <c r="IS19" i="17" s="1"/>
  <c r="OD21" i="2"/>
  <c r="OE21" i="2"/>
  <c r="BL20" i="6" s="1"/>
  <c r="JI19" i="17" s="1"/>
  <c r="NZ22" i="2"/>
  <c r="OA22" i="2"/>
  <c r="BH21" i="6" s="1"/>
  <c r="IS20" i="17" s="1"/>
  <c r="OD22" i="2"/>
  <c r="OE22" i="2"/>
  <c r="BL21" i="6" s="1"/>
  <c r="JI20" i="17" s="1"/>
  <c r="NZ23" i="2"/>
  <c r="OA23" i="2"/>
  <c r="BH22" i="6" s="1"/>
  <c r="IS21" i="17" s="1"/>
  <c r="OD23" i="2"/>
  <c r="OE23" i="2"/>
  <c r="BL22" i="6" s="1"/>
  <c r="JI21" i="17" s="1"/>
  <c r="NZ24" i="2"/>
  <c r="OA24" i="2"/>
  <c r="BH23" i="6" s="1"/>
  <c r="IS22" i="17" s="1"/>
  <c r="OD24" i="2"/>
  <c r="OE24" i="2"/>
  <c r="BL23" i="6" s="1"/>
  <c r="JI22" i="17" s="1"/>
  <c r="NZ25" i="2"/>
  <c r="OA25" i="2"/>
  <c r="BH24" i="6" s="1"/>
  <c r="IS23" i="17" s="1"/>
  <c r="OD25" i="2"/>
  <c r="OE25" i="2"/>
  <c r="BL24" i="6" s="1"/>
  <c r="JI23" i="17" s="1"/>
  <c r="NZ26" i="2"/>
  <c r="OA26" i="2"/>
  <c r="BH25" i="6" s="1"/>
  <c r="IS24" i="17" s="1"/>
  <c r="NZ27" i="2"/>
  <c r="OA27" i="2"/>
  <c r="BH26" i="6" s="1"/>
  <c r="IS25" i="17" s="1"/>
  <c r="OD27" i="2"/>
  <c r="OE27" i="2"/>
  <c r="BL26" i="6" s="1"/>
  <c r="JI25" i="17" s="1"/>
  <c r="NZ28" i="2"/>
  <c r="OA28" i="2"/>
  <c r="BH27" i="6" s="1"/>
  <c r="IS26" i="17" s="1"/>
  <c r="NZ29" i="2"/>
  <c r="OA29" i="2"/>
  <c r="BH28" i="6" s="1"/>
  <c r="IS27" i="17" s="1"/>
  <c r="OD29" i="2"/>
  <c r="OE29" i="2"/>
  <c r="BL28" i="6" s="1"/>
  <c r="JI27" i="17" s="1"/>
  <c r="OE12" i="2"/>
  <c r="BL11" i="6" s="1"/>
  <c r="JI10" i="17" s="1"/>
  <c r="OD12" i="2"/>
  <c r="OA12" i="2"/>
  <c r="BH11" i="6" s="1"/>
  <c r="IS10" i="17" s="1"/>
  <c r="NZ12" i="2"/>
  <c r="IW28" i="17" l="1"/>
  <c r="IX30" i="17"/>
  <c r="IX32" i="17" s="1"/>
  <c r="IX35" i="17" s="1"/>
  <c r="IW32" i="17"/>
  <c r="IT30" i="17"/>
  <c r="IT32" i="17" s="1"/>
  <c r="IT35" i="17" s="1"/>
  <c r="IS32" i="17"/>
  <c r="IS28" i="17"/>
  <c r="OZ34" i="2"/>
  <c r="OY34" i="2"/>
  <c r="OV34" i="2"/>
  <c r="OU34" i="2"/>
  <c r="OZ29" i="2"/>
  <c r="JO27" i="17" s="1"/>
  <c r="OY29" i="2"/>
  <c r="OV29" i="2"/>
  <c r="IY27" i="17" s="1"/>
  <c r="OU29" i="2"/>
  <c r="OZ28" i="2"/>
  <c r="JO26" i="17" s="1"/>
  <c r="OY28" i="2"/>
  <c r="OV28" i="2"/>
  <c r="IY26" i="17" s="1"/>
  <c r="OU28" i="2"/>
  <c r="OZ27" i="2"/>
  <c r="JO25" i="17" s="1"/>
  <c r="OY27" i="2"/>
  <c r="OV27" i="2"/>
  <c r="IY25" i="17" s="1"/>
  <c r="OU27" i="2"/>
  <c r="OZ26" i="2"/>
  <c r="JO24" i="17" s="1"/>
  <c r="OY26" i="2"/>
  <c r="OV26" i="2"/>
  <c r="IY24" i="17" s="1"/>
  <c r="OU26" i="2"/>
  <c r="OZ25" i="2"/>
  <c r="JO23" i="17" s="1"/>
  <c r="OY25" i="2"/>
  <c r="OV25" i="2"/>
  <c r="IY23" i="17" s="1"/>
  <c r="OU25" i="2"/>
  <c r="OZ24" i="2"/>
  <c r="JO22" i="17" s="1"/>
  <c r="OY24" i="2"/>
  <c r="OV24" i="2"/>
  <c r="IY22" i="17" s="1"/>
  <c r="OU24" i="2"/>
  <c r="OZ23" i="2"/>
  <c r="JO21" i="17" s="1"/>
  <c r="OY23" i="2"/>
  <c r="OV23" i="2"/>
  <c r="IY21" i="17" s="1"/>
  <c r="OU23" i="2"/>
  <c r="OZ22" i="2"/>
  <c r="JO20" i="17" s="1"/>
  <c r="OY22" i="2"/>
  <c r="OV22" i="2"/>
  <c r="IY20" i="17" s="1"/>
  <c r="OU22" i="2"/>
  <c r="OZ21" i="2"/>
  <c r="JO19" i="17" s="1"/>
  <c r="OY21" i="2"/>
  <c r="OV21" i="2"/>
  <c r="IY19" i="17" s="1"/>
  <c r="OU21" i="2"/>
  <c r="OZ20" i="2"/>
  <c r="JO18" i="17" s="1"/>
  <c r="OY20" i="2"/>
  <c r="OV20" i="2"/>
  <c r="IY18" i="17" s="1"/>
  <c r="OU20" i="2"/>
  <c r="OZ19" i="2"/>
  <c r="JO17" i="17" s="1"/>
  <c r="OY19" i="2"/>
  <c r="OV19" i="2"/>
  <c r="IY17" i="17" s="1"/>
  <c r="OU19" i="2"/>
  <c r="OZ18" i="2"/>
  <c r="JO16" i="17" s="1"/>
  <c r="OY18" i="2"/>
  <c r="OV18" i="2"/>
  <c r="IY16" i="17" s="1"/>
  <c r="OU18" i="2"/>
  <c r="OZ17" i="2"/>
  <c r="JO15" i="17" s="1"/>
  <c r="OY17" i="2"/>
  <c r="OV17" i="2"/>
  <c r="IY15" i="17" s="1"/>
  <c r="OU17" i="2"/>
  <c r="OZ16" i="2"/>
  <c r="JO14" i="17" s="1"/>
  <c r="OY16" i="2"/>
  <c r="OV16" i="2"/>
  <c r="IY14" i="17" s="1"/>
  <c r="OU16" i="2"/>
  <c r="OZ15" i="2"/>
  <c r="JO13" i="17" s="1"/>
  <c r="OY15" i="2"/>
  <c r="OV15" i="2"/>
  <c r="IY13" i="17" s="1"/>
  <c r="OU15" i="2"/>
  <c r="OZ14" i="2"/>
  <c r="JO12" i="17" s="1"/>
  <c r="OY14" i="2"/>
  <c r="OV14" i="2"/>
  <c r="IY12" i="17" s="1"/>
  <c r="OU14" i="2"/>
  <c r="OZ13" i="2"/>
  <c r="JO11" i="17" s="1"/>
  <c r="OY13" i="2"/>
  <c r="OV13" i="2"/>
  <c r="IY11" i="17" s="1"/>
  <c r="OU13" i="2"/>
  <c r="OZ12" i="2"/>
  <c r="JO10" i="17" s="1"/>
  <c r="JO28" i="17" s="1"/>
  <c r="JO35" i="17" s="1"/>
  <c r="JM36" i="17" s="1"/>
  <c r="OY12" i="2"/>
  <c r="OV12" i="2"/>
  <c r="OU12" i="2"/>
  <c r="OL34" i="2"/>
  <c r="OK34" i="2"/>
  <c r="OH34" i="2"/>
  <c r="OG34" i="2"/>
  <c r="OE34" i="2"/>
  <c r="OD34" i="2"/>
  <c r="OA34" i="2"/>
  <c r="NZ34" i="2"/>
  <c r="OL30" i="2"/>
  <c r="OK30" i="2"/>
  <c r="OH30" i="2"/>
  <c r="OG30" i="2"/>
  <c r="OA30" i="2"/>
  <c r="NZ30" i="2"/>
  <c r="PB13" i="2"/>
  <c r="PC13" i="2"/>
  <c r="PF13" i="2"/>
  <c r="OR13" i="2" s="1"/>
  <c r="PG13" i="2"/>
  <c r="PB14" i="2"/>
  <c r="PC14" i="2"/>
  <c r="PF14" i="2"/>
  <c r="OR14" i="2" s="1"/>
  <c r="PG14" i="2"/>
  <c r="PB15" i="2"/>
  <c r="PC15" i="2"/>
  <c r="PF15" i="2"/>
  <c r="OR15" i="2" s="1"/>
  <c r="PG15" i="2"/>
  <c r="PB16" i="2"/>
  <c r="PC16" i="2"/>
  <c r="PF16" i="2"/>
  <c r="PG16" i="2"/>
  <c r="JL14" i="17" s="1"/>
  <c r="PB17" i="2"/>
  <c r="PC17" i="2"/>
  <c r="PF17" i="2"/>
  <c r="OR17" i="2" s="1"/>
  <c r="PG17" i="2"/>
  <c r="PB18" i="2"/>
  <c r="PC18" i="2"/>
  <c r="PF18" i="2"/>
  <c r="OR18" i="2" s="1"/>
  <c r="PG18" i="2"/>
  <c r="PB19" i="2"/>
  <c r="PC19" i="2"/>
  <c r="PF19" i="2"/>
  <c r="OR19" i="2" s="1"/>
  <c r="PG19" i="2"/>
  <c r="PB20" i="2"/>
  <c r="PC20" i="2"/>
  <c r="PF20" i="2"/>
  <c r="OR20" i="2" s="1"/>
  <c r="PG20" i="2"/>
  <c r="PB21" i="2"/>
  <c r="PC21" i="2"/>
  <c r="PF21" i="2"/>
  <c r="OR21" i="2" s="1"/>
  <c r="PG21" i="2"/>
  <c r="PB22" i="2"/>
  <c r="PC22" i="2"/>
  <c r="PF22" i="2"/>
  <c r="OR22" i="2" s="1"/>
  <c r="PG22" i="2"/>
  <c r="PB23" i="2"/>
  <c r="PC23" i="2"/>
  <c r="PF23" i="2"/>
  <c r="OR23" i="2" s="1"/>
  <c r="PG23" i="2"/>
  <c r="PB24" i="2"/>
  <c r="PC24" i="2"/>
  <c r="PF24" i="2"/>
  <c r="OR24" i="2" s="1"/>
  <c r="PG24" i="2"/>
  <c r="PB25" i="2"/>
  <c r="PC25" i="2"/>
  <c r="PF25" i="2"/>
  <c r="OR25" i="2" s="1"/>
  <c r="PG25" i="2"/>
  <c r="PB26" i="2"/>
  <c r="PC26" i="2"/>
  <c r="PF26" i="2"/>
  <c r="PG26" i="2"/>
  <c r="JL24" i="17" s="1"/>
  <c r="PB27" i="2"/>
  <c r="PC27" i="2"/>
  <c r="PF27" i="2"/>
  <c r="OR27" i="2" s="1"/>
  <c r="PG27" i="2"/>
  <c r="PB28" i="2"/>
  <c r="PC28" i="2"/>
  <c r="PF28" i="2"/>
  <c r="PG28" i="2"/>
  <c r="JL26" i="17" s="1"/>
  <c r="PB29" i="2"/>
  <c r="PC29" i="2"/>
  <c r="PF29" i="2"/>
  <c r="OR29" i="2" s="1"/>
  <c r="PG29" i="2"/>
  <c r="PG12" i="2"/>
  <c r="PF12" i="2"/>
  <c r="OR12" i="2" s="1"/>
  <c r="PC12" i="2"/>
  <c r="PB12" i="2"/>
  <c r="OS34" i="2"/>
  <c r="OR34" i="2"/>
  <c r="OO34" i="2"/>
  <c r="ON34" i="2"/>
  <c r="PN34" i="2"/>
  <c r="PM34" i="2"/>
  <c r="PN30" i="2"/>
  <c r="PM30" i="2"/>
  <c r="PG34" i="2"/>
  <c r="PF34" i="2"/>
  <c r="PC34" i="2"/>
  <c r="PB34" i="2"/>
  <c r="PJ34" i="2"/>
  <c r="PI34" i="2"/>
  <c r="PJ30" i="2"/>
  <c r="PI30" i="2"/>
  <c r="BK32" i="6"/>
  <c r="IG31" i="17" s="1"/>
  <c r="IH31" i="17" s="1"/>
  <c r="BJ32" i="6"/>
  <c r="IC31" i="17" s="1"/>
  <c r="ID31" i="17" s="1"/>
  <c r="BK31" i="6"/>
  <c r="IG30" i="17" s="1"/>
  <c r="BJ31" i="6"/>
  <c r="IC30" i="17" s="1"/>
  <c r="BK12" i="6"/>
  <c r="IG11" i="17" s="1"/>
  <c r="BK13" i="6"/>
  <c r="IG12" i="17" s="1"/>
  <c r="BK14" i="6"/>
  <c r="IG13" i="17" s="1"/>
  <c r="BK15" i="6"/>
  <c r="IG14" i="17" s="1"/>
  <c r="BK16" i="6"/>
  <c r="IG15" i="17" s="1"/>
  <c r="BK17" i="6"/>
  <c r="IG16" i="17" s="1"/>
  <c r="BK18" i="6"/>
  <c r="IG17" i="17" s="1"/>
  <c r="BK19" i="6"/>
  <c r="IG18" i="17" s="1"/>
  <c r="BK20" i="6"/>
  <c r="IG19" i="17" s="1"/>
  <c r="BK21" i="6"/>
  <c r="IG20" i="17" s="1"/>
  <c r="BK22" i="6"/>
  <c r="IG21" i="17" s="1"/>
  <c r="BK23" i="6"/>
  <c r="IG22" i="17" s="1"/>
  <c r="BK24" i="6"/>
  <c r="IG23" i="17" s="1"/>
  <c r="BK25" i="6"/>
  <c r="IG24" i="17" s="1"/>
  <c r="BK26" i="6"/>
  <c r="IG25" i="17" s="1"/>
  <c r="BK27" i="6"/>
  <c r="IG26" i="17" s="1"/>
  <c r="BK28" i="6"/>
  <c r="IG27" i="17" s="1"/>
  <c r="BK11" i="6"/>
  <c r="IG10" i="17" s="1"/>
  <c r="PD13" i="2"/>
  <c r="PE13" i="2"/>
  <c r="IF11" i="17" s="1"/>
  <c r="PD14" i="2"/>
  <c r="PE14" i="2"/>
  <c r="IF12" i="17" s="1"/>
  <c r="PD15" i="2"/>
  <c r="PE15" i="2"/>
  <c r="IF13" i="17" s="1"/>
  <c r="PD16" i="2"/>
  <c r="PE16" i="2"/>
  <c r="IF14" i="17" s="1"/>
  <c r="PD17" i="2"/>
  <c r="PE17" i="2"/>
  <c r="IF15" i="17" s="1"/>
  <c r="PD18" i="2"/>
  <c r="PE18" i="2"/>
  <c r="IF16" i="17" s="1"/>
  <c r="PD19" i="2"/>
  <c r="PE19" i="2"/>
  <c r="IF17" i="17" s="1"/>
  <c r="PD20" i="2"/>
  <c r="PE20" i="2"/>
  <c r="IF18" i="17" s="1"/>
  <c r="PD21" i="2"/>
  <c r="PE21" i="2"/>
  <c r="IF19" i="17" s="1"/>
  <c r="PD22" i="2"/>
  <c r="PE22" i="2"/>
  <c r="IF20" i="17" s="1"/>
  <c r="PD23" i="2"/>
  <c r="PE23" i="2"/>
  <c r="IF21" i="17" s="1"/>
  <c r="PD24" i="2"/>
  <c r="PE24" i="2"/>
  <c r="IF22" i="17" s="1"/>
  <c r="PD25" i="2"/>
  <c r="PE25" i="2"/>
  <c r="IF23" i="17" s="1"/>
  <c r="PD26" i="2"/>
  <c r="PE26" i="2"/>
  <c r="IF24" i="17" s="1"/>
  <c r="PD27" i="2"/>
  <c r="PE27" i="2"/>
  <c r="IF25" i="17" s="1"/>
  <c r="PD28" i="2"/>
  <c r="PE28" i="2"/>
  <c r="IF26" i="17" s="1"/>
  <c r="PD29" i="2"/>
  <c r="PE29" i="2"/>
  <c r="IF27" i="17" s="1"/>
  <c r="PE12" i="2"/>
  <c r="IF10" i="17" s="1"/>
  <c r="PD12" i="2"/>
  <c r="OX29" i="2"/>
  <c r="II27" i="17" s="1"/>
  <c r="OX28" i="2"/>
  <c r="II26" i="17" s="1"/>
  <c r="OX27" i="2"/>
  <c r="II25" i="17" s="1"/>
  <c r="OX26" i="2"/>
  <c r="II24" i="17" s="1"/>
  <c r="OX25" i="2"/>
  <c r="II23" i="17" s="1"/>
  <c r="OX24" i="2"/>
  <c r="II22" i="17" s="1"/>
  <c r="OX23" i="2"/>
  <c r="II21" i="17" s="1"/>
  <c r="OX22" i="2"/>
  <c r="II20" i="17" s="1"/>
  <c r="OX21" i="2"/>
  <c r="II19" i="17" s="1"/>
  <c r="OX20" i="2"/>
  <c r="II18" i="17" s="1"/>
  <c r="OX19" i="2"/>
  <c r="II17" i="17" s="1"/>
  <c r="OX18" i="2"/>
  <c r="II16" i="17" s="1"/>
  <c r="OX17" i="2"/>
  <c r="II15" i="17" s="1"/>
  <c r="OX16" i="2"/>
  <c r="II14" i="17" s="1"/>
  <c r="OX15" i="2"/>
  <c r="II13" i="17" s="1"/>
  <c r="OX14" i="2"/>
  <c r="II12" i="17" s="1"/>
  <c r="OX13" i="2"/>
  <c r="II11" i="17" s="1"/>
  <c r="OX12" i="2"/>
  <c r="II10" i="17" s="1"/>
  <c r="OW29" i="2"/>
  <c r="OW28" i="2"/>
  <c r="OW27" i="2"/>
  <c r="OW26" i="2"/>
  <c r="OW25" i="2"/>
  <c r="OW24" i="2"/>
  <c r="OW23" i="2"/>
  <c r="OW22" i="2"/>
  <c r="OW21" i="2"/>
  <c r="OW20" i="2"/>
  <c r="OW19" i="2"/>
  <c r="OW18" i="2"/>
  <c r="OW17" i="2"/>
  <c r="OW16" i="2"/>
  <c r="OW15" i="2"/>
  <c r="OW14" i="2"/>
  <c r="OW13" i="2"/>
  <c r="OW12" i="2"/>
  <c r="OJ34" i="2"/>
  <c r="OI34" i="2"/>
  <c r="OC34" i="2"/>
  <c r="OB34" i="2"/>
  <c r="OJ30" i="2"/>
  <c r="OI30" i="2"/>
  <c r="OX34" i="2"/>
  <c r="OW34" i="2"/>
  <c r="OQ34" i="2"/>
  <c r="OP34" i="2"/>
  <c r="PE34" i="2"/>
  <c r="PD34" i="2"/>
  <c r="PL34" i="2"/>
  <c r="PK34" i="2"/>
  <c r="PL30" i="2"/>
  <c r="PK30" i="2"/>
  <c r="BM33" i="6"/>
  <c r="BM29" i="6"/>
  <c r="OU30" i="2" l="1"/>
  <c r="OU37" i="2" s="1"/>
  <c r="OT12" i="2"/>
  <c r="OT13" i="2"/>
  <c r="OT14" i="2"/>
  <c r="OT15" i="2"/>
  <c r="OT16" i="2"/>
  <c r="OT17" i="2"/>
  <c r="OT18" i="2"/>
  <c r="OT19" i="2"/>
  <c r="OT20" i="2"/>
  <c r="OT21" i="2"/>
  <c r="OT22" i="2"/>
  <c r="OT23" i="2"/>
  <c r="OT24" i="2"/>
  <c r="OT25" i="2"/>
  <c r="OT26" i="2"/>
  <c r="OT27" i="2"/>
  <c r="OT28" i="2"/>
  <c r="OT29" i="2"/>
  <c r="ON12" i="2"/>
  <c r="PA12" i="2"/>
  <c r="ON28" i="2"/>
  <c r="PA28" i="2"/>
  <c r="ON27" i="2"/>
  <c r="PA27" i="2"/>
  <c r="ON26" i="2"/>
  <c r="PA26" i="2"/>
  <c r="ON24" i="2"/>
  <c r="PA24" i="2"/>
  <c r="ON23" i="2"/>
  <c r="PA23" i="2"/>
  <c r="ON21" i="2"/>
  <c r="PA21" i="2"/>
  <c r="ON19" i="2"/>
  <c r="PA19" i="2"/>
  <c r="ON17" i="2"/>
  <c r="PA17" i="2"/>
  <c r="ON15" i="2"/>
  <c r="PA15" i="2"/>
  <c r="ON14" i="2"/>
  <c r="PA14" i="2"/>
  <c r="PA29" i="2"/>
  <c r="PA25" i="2"/>
  <c r="PA22" i="2"/>
  <c r="PA20" i="2"/>
  <c r="PA18" i="2"/>
  <c r="PA16" i="2"/>
  <c r="PA13" i="2"/>
  <c r="IS35" i="17"/>
  <c r="IW35" i="17"/>
  <c r="II28" i="17"/>
  <c r="II35" i="17" s="1"/>
  <c r="IG28" i="17"/>
  <c r="OV30" i="2"/>
  <c r="OV37" i="2" s="1"/>
  <c r="IY10" i="17"/>
  <c r="IY28" i="17" s="1"/>
  <c r="IY35" i="17" s="1"/>
  <c r="OG37" i="2"/>
  <c r="ID30" i="17"/>
  <c r="ID32" i="17" s="1"/>
  <c r="ID35" i="17" s="1"/>
  <c r="IC32" i="17"/>
  <c r="IF28" i="17"/>
  <c r="IF35" i="17" s="1"/>
  <c r="IH30" i="17"/>
  <c r="IH32" i="17" s="1"/>
  <c r="IH35" i="17" s="1"/>
  <c r="IG32" i="17"/>
  <c r="OO29" i="2"/>
  <c r="IU27" i="17" s="1"/>
  <c r="IV27" i="17"/>
  <c r="OO28" i="2"/>
  <c r="IU26" i="17" s="1"/>
  <c r="IV26" i="17"/>
  <c r="OO27" i="2"/>
  <c r="IU25" i="17" s="1"/>
  <c r="IV25" i="17"/>
  <c r="OO26" i="2"/>
  <c r="IU24" i="17" s="1"/>
  <c r="IV24" i="17"/>
  <c r="OO25" i="2"/>
  <c r="IU23" i="17" s="1"/>
  <c r="IV23" i="17"/>
  <c r="OO24" i="2"/>
  <c r="IU22" i="17" s="1"/>
  <c r="IV22" i="17"/>
  <c r="OO23" i="2"/>
  <c r="IU21" i="17" s="1"/>
  <c r="IV21" i="17"/>
  <c r="OO22" i="2"/>
  <c r="IU20" i="17" s="1"/>
  <c r="IV20" i="17"/>
  <c r="OO21" i="2"/>
  <c r="IU19" i="17" s="1"/>
  <c r="IV19" i="17"/>
  <c r="OO20" i="2"/>
  <c r="IU18" i="17" s="1"/>
  <c r="IV18" i="17"/>
  <c r="OO19" i="2"/>
  <c r="IU17" i="17" s="1"/>
  <c r="IV17" i="17"/>
  <c r="OO18" i="2"/>
  <c r="IU16" i="17" s="1"/>
  <c r="IV16" i="17"/>
  <c r="OO17" i="2"/>
  <c r="IU15" i="17" s="1"/>
  <c r="IV15" i="17"/>
  <c r="OO16" i="2"/>
  <c r="IU14" i="17" s="1"/>
  <c r="IV14" i="17"/>
  <c r="OO15" i="2"/>
  <c r="IU13" i="17" s="1"/>
  <c r="IV13" i="17"/>
  <c r="OO14" i="2"/>
  <c r="IU12" i="17" s="1"/>
  <c r="IV12" i="17"/>
  <c r="OO13" i="2"/>
  <c r="IU11" i="17" s="1"/>
  <c r="IV11" i="17"/>
  <c r="OO12" i="2"/>
  <c r="IU10" i="17" s="1"/>
  <c r="IV10" i="17"/>
  <c r="OS29" i="2"/>
  <c r="JK27" i="17" s="1"/>
  <c r="JL27" i="17"/>
  <c r="OS27" i="2"/>
  <c r="JK25" i="17" s="1"/>
  <c r="JL25" i="17"/>
  <c r="OS25" i="2"/>
  <c r="JK23" i="17" s="1"/>
  <c r="JL23" i="17"/>
  <c r="OS24" i="2"/>
  <c r="JK22" i="17" s="1"/>
  <c r="JL22" i="17"/>
  <c r="OS23" i="2"/>
  <c r="JK21" i="17" s="1"/>
  <c r="JL21" i="17"/>
  <c r="OS22" i="2"/>
  <c r="JK20" i="17" s="1"/>
  <c r="JL20" i="17"/>
  <c r="OS21" i="2"/>
  <c r="JK19" i="17" s="1"/>
  <c r="JL19" i="17"/>
  <c r="OS20" i="2"/>
  <c r="JK18" i="17" s="1"/>
  <c r="JL18" i="17"/>
  <c r="OS19" i="2"/>
  <c r="JK17" i="17" s="1"/>
  <c r="JL17" i="17"/>
  <c r="OS18" i="2"/>
  <c r="JK16" i="17" s="1"/>
  <c r="JL16" i="17"/>
  <c r="OS17" i="2"/>
  <c r="JK15" i="17" s="1"/>
  <c r="JL15" i="17"/>
  <c r="OS15" i="2"/>
  <c r="JK13" i="17" s="1"/>
  <c r="JL13" i="17"/>
  <c r="OS14" i="2"/>
  <c r="JK12" i="17" s="1"/>
  <c r="JL12" i="17"/>
  <c r="OS13" i="2"/>
  <c r="JK11" i="17" s="1"/>
  <c r="JL11" i="17"/>
  <c r="OS12" i="2"/>
  <c r="JK10" i="17" s="1"/>
  <c r="JL10" i="17"/>
  <c r="OZ30" i="2"/>
  <c r="OZ37" i="2" s="1"/>
  <c r="NZ37" i="2"/>
  <c r="E123" i="8" s="1"/>
  <c r="E125" i="8" s="1"/>
  <c r="OL37" i="2"/>
  <c r="NX38" i="2" s="1"/>
  <c r="PK37" i="2"/>
  <c r="OY30" i="2"/>
  <c r="OY37" i="2" s="1"/>
  <c r="OX30" i="2"/>
  <c r="OX37" i="2" s="1"/>
  <c r="PC30" i="2"/>
  <c r="PC37" i="2" s="1"/>
  <c r="PE30" i="2"/>
  <c r="PE37" i="2" s="1"/>
  <c r="PD30" i="2"/>
  <c r="PD37" i="2" s="1"/>
  <c r="BM36" i="6"/>
  <c r="BL33" i="6"/>
  <c r="PG30" i="2"/>
  <c r="PG37" i="2" s="1"/>
  <c r="ON29" i="2"/>
  <c r="ON25" i="2"/>
  <c r="ON22" i="2"/>
  <c r="ON20" i="2"/>
  <c r="ON18" i="2"/>
  <c r="ON16" i="2"/>
  <c r="ON13" i="2"/>
  <c r="PB30" i="2"/>
  <c r="PB37" i="2" s="1"/>
  <c r="PF30" i="2"/>
  <c r="PF37" i="2" s="1"/>
  <c r="PL37" i="2"/>
  <c r="OA37" i="2"/>
  <c r="OH37" i="2"/>
  <c r="OH42" i="2" s="1"/>
  <c r="OK37" i="2"/>
  <c r="OJ37" i="2"/>
  <c r="OJ42" i="2" s="1"/>
  <c r="PI37" i="2"/>
  <c r="PJ37" i="2"/>
  <c r="PM37" i="2"/>
  <c r="PN37" i="2"/>
  <c r="AR50" i="1"/>
  <c r="OW30" i="2"/>
  <c r="OW37" i="2" s="1"/>
  <c r="OI37" i="2"/>
  <c r="BK33" i="6"/>
  <c r="BK29" i="6"/>
  <c r="D451" i="8"/>
  <c r="D128" i="8"/>
  <c r="H450" i="8"/>
  <c r="G450" i="8"/>
  <c r="I450" i="8" s="1"/>
  <c r="D448" i="8"/>
  <c r="C23" i="16" s="1"/>
  <c r="H447" i="8"/>
  <c r="G447" i="8"/>
  <c r="I447" i="8" s="1"/>
  <c r="J446" i="8"/>
  <c r="D180" i="8"/>
  <c r="D177" i="8"/>
  <c r="D156" i="8" s="1"/>
  <c r="J176" i="8"/>
  <c r="D153" i="8"/>
  <c r="H127" i="8"/>
  <c r="G127" i="8"/>
  <c r="I127" i="8" s="1"/>
  <c r="D125" i="8"/>
  <c r="C20" i="16" s="1"/>
  <c r="H124" i="8"/>
  <c r="G124" i="8"/>
  <c r="I124" i="8" s="1"/>
  <c r="J123" i="8"/>
  <c r="F123" i="8" l="1"/>
  <c r="F125" i="8" s="1"/>
  <c r="OG42" i="2"/>
  <c r="OT30" i="2"/>
  <c r="OT37" i="2" s="1"/>
  <c r="PA30" i="2"/>
  <c r="PA37" i="2" s="1"/>
  <c r="F176" i="8"/>
  <c r="F177" i="8" s="1"/>
  <c r="OI42" i="2"/>
  <c r="IW36" i="17"/>
  <c r="IG35" i="17"/>
  <c r="IG36" i="17" s="1"/>
  <c r="OO30" i="2"/>
  <c r="OO37" i="2" s="1"/>
  <c r="JL28" i="17"/>
  <c r="JL35" i="17" s="1"/>
  <c r="IU28" i="17"/>
  <c r="IU35" i="17" s="1"/>
  <c r="IV28" i="17"/>
  <c r="IV35" i="17" s="1"/>
  <c r="F449" i="8"/>
  <c r="F451" i="8" s="1"/>
  <c r="C39" i="7"/>
  <c r="NW38" i="2"/>
  <c r="F446" i="8" s="1"/>
  <c r="F448" i="8" s="1"/>
  <c r="F126" i="8"/>
  <c r="F128" i="8" s="1"/>
  <c r="E20" i="16" s="1"/>
  <c r="C36" i="7"/>
  <c r="C37" i="7"/>
  <c r="F179" i="8"/>
  <c r="F180" i="8" s="1"/>
  <c r="E126" i="8"/>
  <c r="G126" i="8" s="1"/>
  <c r="I126" i="8" s="1"/>
  <c r="B36" i="7"/>
  <c r="ON30" i="2"/>
  <c r="ON37" i="2" s="1"/>
  <c r="BI33" i="6"/>
  <c r="BK36" i="6"/>
  <c r="BI29" i="6"/>
  <c r="BJ33" i="6"/>
  <c r="BH29" i="6"/>
  <c r="BH33" i="6"/>
  <c r="H178" i="8"/>
  <c r="H125" i="8"/>
  <c r="G125" i="8"/>
  <c r="H123" i="8"/>
  <c r="G123" i="8"/>
  <c r="I123" i="8" s="1"/>
  <c r="F156" i="8" l="1"/>
  <c r="IS36" i="17"/>
  <c r="E23" i="16"/>
  <c r="I125" i="8"/>
  <c r="E128" i="8"/>
  <c r="G128" i="8"/>
  <c r="I128" i="8" s="1"/>
  <c r="H126" i="8"/>
  <c r="BI36" i="6"/>
  <c r="BH36" i="6"/>
  <c r="H181" i="8"/>
  <c r="H128" i="8" l="1"/>
  <c r="D20" i="16"/>
  <c r="F20" i="16"/>
  <c r="I178" i="8"/>
  <c r="I181" i="8"/>
  <c r="D51" i="8" l="1"/>
  <c r="H52" i="8"/>
  <c r="I52" i="8"/>
  <c r="D150" i="8"/>
  <c r="C22" i="16" s="1"/>
  <c r="G423" i="8" l="1"/>
  <c r="D422" i="8"/>
  <c r="G420" i="8"/>
  <c r="D419" i="8"/>
  <c r="D336" i="8"/>
  <c r="G220" i="8"/>
  <c r="G221" i="8"/>
  <c r="G217" i="8"/>
  <c r="G216" i="8"/>
  <c r="D222" i="8"/>
  <c r="D199" i="8"/>
  <c r="D195" i="8"/>
  <c r="D163" i="8"/>
  <c r="D175" i="8"/>
  <c r="D171" i="8"/>
  <c r="D167" i="8"/>
  <c r="D144" i="8"/>
  <c r="L9" i="4" l="1"/>
  <c r="M9" i="4" s="1"/>
  <c r="L10" i="4"/>
  <c r="M10" i="4" s="1"/>
  <c r="L11" i="4"/>
  <c r="M11" i="4" s="1"/>
  <c r="L12" i="4"/>
  <c r="M12" i="4" s="1"/>
  <c r="L13" i="4"/>
  <c r="M13" i="4" s="1"/>
  <c r="L14" i="4"/>
  <c r="M14" i="4" s="1"/>
  <c r="L15" i="4"/>
  <c r="M15" i="4" s="1"/>
  <c r="L16" i="4"/>
  <c r="M16" i="4" s="1"/>
  <c r="L17" i="4"/>
  <c r="M17" i="4" s="1"/>
  <c r="L18" i="4"/>
  <c r="M18" i="4" s="1"/>
  <c r="L19" i="4"/>
  <c r="M19" i="4" s="1"/>
  <c r="L20" i="4"/>
  <c r="M20" i="4" s="1"/>
  <c r="L21" i="4"/>
  <c r="M21" i="4" s="1"/>
  <c r="L22" i="4"/>
  <c r="M22" i="4" s="1"/>
  <c r="L23" i="4"/>
  <c r="M23" i="4" s="1"/>
  <c r="L24" i="4"/>
  <c r="M24" i="4" s="1"/>
  <c r="L25" i="4"/>
  <c r="M25" i="4" s="1"/>
  <c r="L8" i="4"/>
  <c r="M8" i="4" s="1"/>
  <c r="H9" i="4"/>
  <c r="I9" i="4" s="1"/>
  <c r="H10" i="4"/>
  <c r="I10" i="4" s="1"/>
  <c r="H11" i="4"/>
  <c r="I11" i="4" s="1"/>
  <c r="K11" i="4" s="1"/>
  <c r="H12" i="4"/>
  <c r="I12" i="4" s="1"/>
  <c r="K12" i="4" s="1"/>
  <c r="H13" i="4"/>
  <c r="I13" i="4" s="1"/>
  <c r="H14" i="4"/>
  <c r="I14" i="4" s="1"/>
  <c r="H15" i="4"/>
  <c r="I15" i="4" s="1"/>
  <c r="K15" i="4" s="1"/>
  <c r="H16" i="4"/>
  <c r="I16" i="4" s="1"/>
  <c r="K16" i="4" s="1"/>
  <c r="H17" i="4"/>
  <c r="I17" i="4" s="1"/>
  <c r="H18" i="4"/>
  <c r="I18" i="4" s="1"/>
  <c r="H19" i="4"/>
  <c r="I19" i="4" s="1"/>
  <c r="K19" i="4" s="1"/>
  <c r="H20" i="4"/>
  <c r="I20" i="4" s="1"/>
  <c r="K20" i="4" s="1"/>
  <c r="H21" i="4"/>
  <c r="I21" i="4" s="1"/>
  <c r="H22" i="4"/>
  <c r="I22" i="4" s="1"/>
  <c r="H23" i="4"/>
  <c r="I23" i="4" s="1"/>
  <c r="H24" i="4"/>
  <c r="I24" i="4" s="1"/>
  <c r="K24" i="4" s="1"/>
  <c r="H25" i="4"/>
  <c r="I25" i="4" s="1"/>
  <c r="H8" i="4"/>
  <c r="I8" i="4" s="1"/>
  <c r="K25" i="4"/>
  <c r="K9" i="4"/>
  <c r="N44" i="3"/>
  <c r="O44" i="3"/>
  <c r="N29" i="3"/>
  <c r="N28" i="3"/>
  <c r="N9" i="3"/>
  <c r="N10" i="3"/>
  <c r="N11" i="3"/>
  <c r="N12" i="3"/>
  <c r="N13" i="3"/>
  <c r="N14" i="3"/>
  <c r="N15" i="3"/>
  <c r="N16" i="3"/>
  <c r="N17" i="3"/>
  <c r="N18" i="3"/>
  <c r="N19" i="3"/>
  <c r="N20" i="3"/>
  <c r="N21" i="3"/>
  <c r="N22" i="3"/>
  <c r="N23" i="3"/>
  <c r="N24" i="3"/>
  <c r="N25" i="3"/>
  <c r="N8" i="3"/>
  <c r="K17" i="4" l="1"/>
  <c r="K8" i="4"/>
  <c r="K13" i="4"/>
  <c r="K21" i="4"/>
  <c r="M26" i="4"/>
  <c r="M29" i="4" s="1"/>
  <c r="G29" i="4" s="1"/>
  <c r="O23" i="3"/>
  <c r="O15" i="3"/>
  <c r="O8" i="3"/>
  <c r="O22" i="3"/>
  <c r="O18" i="3"/>
  <c r="O14" i="3"/>
  <c r="O10" i="3"/>
  <c r="O11" i="3"/>
  <c r="O29" i="3"/>
  <c r="O24" i="3"/>
  <c r="O20" i="3"/>
  <c r="O16" i="3"/>
  <c r="O12" i="3"/>
  <c r="O28" i="3"/>
  <c r="O19" i="3"/>
  <c r="O25" i="3"/>
  <c r="O21" i="3"/>
  <c r="O17" i="3"/>
  <c r="O13" i="3"/>
  <c r="K22" i="4"/>
  <c r="K18" i="4"/>
  <c r="K14" i="4"/>
  <c r="K10" i="4"/>
  <c r="I26" i="4"/>
  <c r="I29" i="4" s="1"/>
  <c r="C29" i="4" s="1"/>
  <c r="K23" i="4"/>
  <c r="O9" i="3"/>
  <c r="J19" i="4"/>
  <c r="J11" i="4"/>
  <c r="J23" i="4"/>
  <c r="J25" i="4"/>
  <c r="J18" i="4"/>
  <c r="J10" i="4"/>
  <c r="J21" i="4"/>
  <c r="J17" i="4"/>
  <c r="J13" i="4"/>
  <c r="J9" i="4"/>
  <c r="J15" i="4"/>
  <c r="H26" i="4"/>
  <c r="N36" i="3" s="1"/>
  <c r="N30" i="3"/>
  <c r="L26" i="4"/>
  <c r="L29" i="4" s="1"/>
  <c r="F29" i="4" s="1"/>
  <c r="J14" i="4"/>
  <c r="J22" i="4"/>
  <c r="J24" i="4"/>
  <c r="J20" i="4"/>
  <c r="J16" i="4"/>
  <c r="J12" i="4"/>
  <c r="J8" i="4"/>
  <c r="N26" i="3"/>
  <c r="O30" i="3" l="1"/>
  <c r="K26" i="4"/>
  <c r="K29" i="4" s="1"/>
  <c r="E29" i="4" s="1"/>
  <c r="O36" i="3"/>
  <c r="O26" i="3"/>
  <c r="H29" i="4"/>
  <c r="N33" i="3"/>
  <c r="N38" i="3" s="1"/>
  <c r="E335" i="8" s="1"/>
  <c r="E336" i="8" s="1"/>
  <c r="G336" i="8" s="1"/>
  <c r="I336" i="8" s="1"/>
  <c r="N43" i="3"/>
  <c r="J26" i="4"/>
  <c r="J29" i="4" s="1"/>
  <c r="O43" i="3" l="1"/>
  <c r="O33" i="3"/>
  <c r="O38" i="3" s="1"/>
  <c r="G335" i="8"/>
  <c r="I335" i="8" s="1"/>
  <c r="G337" i="8"/>
  <c r="I337" i="8" s="1"/>
  <c r="F335" i="8" l="1"/>
  <c r="O40" i="3"/>
  <c r="H337" i="8"/>
  <c r="F336" i="8" l="1"/>
  <c r="H336" i="8" s="1"/>
  <c r="H335" i="8"/>
  <c r="F203" i="8"/>
  <c r="D203" i="8"/>
  <c r="D201" i="8"/>
  <c r="D37" i="11" l="1"/>
  <c r="J41" i="11"/>
  <c r="J39" i="11"/>
  <c r="I38" i="11"/>
  <c r="H38" i="11"/>
  <c r="DA32" i="6"/>
  <c r="DA31" i="6"/>
  <c r="DA12" i="6"/>
  <c r="DA13" i="6"/>
  <c r="DA14" i="6"/>
  <c r="DA15" i="6"/>
  <c r="DA16" i="6"/>
  <c r="DA17" i="6"/>
  <c r="DA18" i="6"/>
  <c r="DA19" i="6"/>
  <c r="DA20" i="6"/>
  <c r="DA21" i="6"/>
  <c r="DA22" i="6"/>
  <c r="DA23" i="6"/>
  <c r="DA24" i="6"/>
  <c r="DA25" i="6"/>
  <c r="DA26" i="6"/>
  <c r="DA27" i="6"/>
  <c r="DA28" i="6"/>
  <c r="DA11" i="6"/>
  <c r="CY32" i="6"/>
  <c r="CY31" i="6"/>
  <c r="CY12" i="6"/>
  <c r="CY13" i="6"/>
  <c r="CY14" i="6"/>
  <c r="CY15" i="6"/>
  <c r="CY16" i="6"/>
  <c r="CY17" i="6"/>
  <c r="CY18" i="6"/>
  <c r="CY19" i="6"/>
  <c r="CY20" i="6"/>
  <c r="CY21" i="6"/>
  <c r="CY22" i="6"/>
  <c r="CY23" i="6"/>
  <c r="CY24" i="6"/>
  <c r="CY25" i="6"/>
  <c r="CY26" i="6"/>
  <c r="CY27" i="6"/>
  <c r="CY28" i="6"/>
  <c r="CY11" i="6"/>
  <c r="UW33" i="2"/>
  <c r="CZ32" i="6" s="1"/>
  <c r="UV33" i="2"/>
  <c r="UW32" i="2"/>
  <c r="CZ31" i="6" s="1"/>
  <c r="UV32" i="2"/>
  <c r="UV13" i="2"/>
  <c r="UW13" i="2"/>
  <c r="UV14" i="2"/>
  <c r="UW14" i="2"/>
  <c r="CZ13" i="6" s="1"/>
  <c r="UV15" i="2"/>
  <c r="UW15" i="2"/>
  <c r="UV16" i="2"/>
  <c r="UW16" i="2"/>
  <c r="CZ15" i="6" s="1"/>
  <c r="UV17" i="2"/>
  <c r="UW17" i="2"/>
  <c r="UV18" i="2"/>
  <c r="UW18" i="2"/>
  <c r="CZ17" i="6" s="1"/>
  <c r="UV19" i="2"/>
  <c r="UW19" i="2"/>
  <c r="UV20" i="2"/>
  <c r="UW20" i="2"/>
  <c r="CZ19" i="6" s="1"/>
  <c r="UV21" i="2"/>
  <c r="UW21" i="2"/>
  <c r="UV22" i="2"/>
  <c r="UW22" i="2"/>
  <c r="CZ21" i="6" s="1"/>
  <c r="UV23" i="2"/>
  <c r="UW23" i="2"/>
  <c r="UV24" i="2"/>
  <c r="UW24" i="2"/>
  <c r="CZ23" i="6" s="1"/>
  <c r="UV25" i="2"/>
  <c r="UW25" i="2"/>
  <c r="UV26" i="2"/>
  <c r="UW26" i="2"/>
  <c r="CZ25" i="6" s="1"/>
  <c r="UV27" i="2"/>
  <c r="UW27" i="2"/>
  <c r="UV28" i="2"/>
  <c r="UW28" i="2"/>
  <c r="CZ27" i="6" s="1"/>
  <c r="UV29" i="2"/>
  <c r="UW29" i="2"/>
  <c r="UW12" i="2"/>
  <c r="CZ11" i="6" s="1"/>
  <c r="UV12" i="2"/>
  <c r="UQ33" i="2"/>
  <c r="CX32" i="6" s="1"/>
  <c r="UP33" i="2"/>
  <c r="UQ32" i="2"/>
  <c r="CX31" i="6" s="1"/>
  <c r="UP32" i="2"/>
  <c r="UP13" i="2"/>
  <c r="UQ13" i="2"/>
  <c r="CX12" i="6" s="1"/>
  <c r="UP14" i="2"/>
  <c r="UQ14" i="2"/>
  <c r="CX13" i="6" s="1"/>
  <c r="UP15" i="2"/>
  <c r="UQ15" i="2"/>
  <c r="CX14" i="6" s="1"/>
  <c r="UP16" i="2"/>
  <c r="UQ16" i="2"/>
  <c r="CX15" i="6" s="1"/>
  <c r="UP17" i="2"/>
  <c r="UQ17" i="2"/>
  <c r="CX16" i="6" s="1"/>
  <c r="UP18" i="2"/>
  <c r="UQ18" i="2"/>
  <c r="CX17" i="6" s="1"/>
  <c r="UP19" i="2"/>
  <c r="UQ19" i="2"/>
  <c r="CX18" i="6" s="1"/>
  <c r="UP20" i="2"/>
  <c r="UQ20" i="2"/>
  <c r="CX19" i="6" s="1"/>
  <c r="UP21" i="2"/>
  <c r="UQ21" i="2"/>
  <c r="CX20" i="6" s="1"/>
  <c r="UP22" i="2"/>
  <c r="UQ22" i="2"/>
  <c r="CX21" i="6" s="1"/>
  <c r="UP23" i="2"/>
  <c r="UQ23" i="2"/>
  <c r="CX22" i="6" s="1"/>
  <c r="UP24" i="2"/>
  <c r="UQ24" i="2"/>
  <c r="CX23" i="6" s="1"/>
  <c r="UP25" i="2"/>
  <c r="UQ25" i="2"/>
  <c r="CX24" i="6" s="1"/>
  <c r="UP26" i="2"/>
  <c r="UQ26" i="2"/>
  <c r="CX25" i="6" s="1"/>
  <c r="UP27" i="2"/>
  <c r="UQ27" i="2"/>
  <c r="CX26" i="6" s="1"/>
  <c r="UP28" i="2"/>
  <c r="UQ28" i="2"/>
  <c r="CX27" i="6" s="1"/>
  <c r="UP29" i="2"/>
  <c r="UQ29" i="2"/>
  <c r="CX28" i="6" s="1"/>
  <c r="UQ12" i="2"/>
  <c r="CX11" i="6" s="1"/>
  <c r="UP12" i="2"/>
  <c r="UZ34" i="2"/>
  <c r="UY34" i="2"/>
  <c r="UX33" i="2"/>
  <c r="UX32" i="2"/>
  <c r="UZ30" i="2"/>
  <c r="UY30" i="2"/>
  <c r="UX29" i="2"/>
  <c r="UX28" i="2"/>
  <c r="UX27" i="2"/>
  <c r="UX26" i="2"/>
  <c r="UX25" i="2"/>
  <c r="UX24" i="2"/>
  <c r="UX23" i="2"/>
  <c r="UX22" i="2"/>
  <c r="UX21" i="2"/>
  <c r="UX20" i="2"/>
  <c r="UX19" i="2"/>
  <c r="UX18" i="2"/>
  <c r="UX17" i="2"/>
  <c r="UX16" i="2"/>
  <c r="UX15" i="2"/>
  <c r="UX14" i="2"/>
  <c r="UX13" i="2"/>
  <c r="UX12" i="2"/>
  <c r="UT34" i="2"/>
  <c r="US34" i="2"/>
  <c r="UR33" i="2"/>
  <c r="UR32" i="2"/>
  <c r="UT30" i="2"/>
  <c r="US30" i="2"/>
  <c r="US37" i="2" s="1"/>
  <c r="F41" i="11" s="1"/>
  <c r="UR29" i="2"/>
  <c r="UR28" i="2"/>
  <c r="UR27" i="2"/>
  <c r="UR26" i="2"/>
  <c r="UR25" i="2"/>
  <c r="UR24" i="2"/>
  <c r="UR23" i="2"/>
  <c r="UR22" i="2"/>
  <c r="UR21" i="2"/>
  <c r="UR20" i="2"/>
  <c r="UR19" i="2"/>
  <c r="UR18" i="2"/>
  <c r="UR17" i="2"/>
  <c r="UR16" i="2"/>
  <c r="UR15" i="2"/>
  <c r="UR14" i="2"/>
  <c r="UR13" i="2"/>
  <c r="UR12" i="2"/>
  <c r="UT37" i="2" l="1"/>
  <c r="C58" i="7" s="1"/>
  <c r="UY37" i="2"/>
  <c r="UR34" i="2"/>
  <c r="UU22" i="2"/>
  <c r="UO14" i="2"/>
  <c r="UO28" i="2"/>
  <c r="UU14" i="2"/>
  <c r="UU28" i="2"/>
  <c r="UQ30" i="2"/>
  <c r="UU20" i="2"/>
  <c r="UO22" i="2"/>
  <c r="UO20" i="2"/>
  <c r="UU26" i="2"/>
  <c r="UU24" i="2"/>
  <c r="UU18" i="2"/>
  <c r="UU16" i="2"/>
  <c r="UU29" i="2"/>
  <c r="UU27" i="2"/>
  <c r="UU25" i="2"/>
  <c r="UU23" i="2"/>
  <c r="UU21" i="2"/>
  <c r="UU19" i="2"/>
  <c r="UU17" i="2"/>
  <c r="UU15" i="2"/>
  <c r="UU13" i="2"/>
  <c r="CZ33" i="6"/>
  <c r="UU12" i="2"/>
  <c r="UW34" i="2"/>
  <c r="UO26" i="2"/>
  <c r="UX30" i="2"/>
  <c r="UO29" i="2"/>
  <c r="UO27" i="2"/>
  <c r="UO25" i="2"/>
  <c r="UO23" i="2"/>
  <c r="UO21" i="2"/>
  <c r="UO19" i="2"/>
  <c r="UO17" i="2"/>
  <c r="UO15" i="2"/>
  <c r="UO13" i="2"/>
  <c r="UO16" i="2"/>
  <c r="UO32" i="2"/>
  <c r="DA29" i="6"/>
  <c r="CY33" i="6"/>
  <c r="DA33" i="6"/>
  <c r="CX29" i="6"/>
  <c r="CX33" i="6"/>
  <c r="UX34" i="2"/>
  <c r="CY29" i="6"/>
  <c r="UZ37" i="2"/>
  <c r="UO24" i="2"/>
  <c r="UO18" i="2"/>
  <c r="CZ28" i="6"/>
  <c r="CZ26" i="6"/>
  <c r="CZ24" i="6"/>
  <c r="CZ22" i="6"/>
  <c r="CZ20" i="6"/>
  <c r="CZ18" i="6"/>
  <c r="CZ16" i="6"/>
  <c r="CZ14" i="6"/>
  <c r="CZ12" i="6"/>
  <c r="UW30" i="2"/>
  <c r="UU32" i="2"/>
  <c r="UR30" i="2"/>
  <c r="UU33" i="2"/>
  <c r="UP30" i="2"/>
  <c r="UV30" i="2"/>
  <c r="UV34" i="2"/>
  <c r="UO33" i="2"/>
  <c r="UO12" i="2"/>
  <c r="UQ34" i="2"/>
  <c r="UP34" i="2"/>
  <c r="F42" i="11" l="1"/>
  <c r="F39" i="11"/>
  <c r="UY42" i="2"/>
  <c r="UR37" i="2"/>
  <c r="UQ37" i="2"/>
  <c r="B58" i="7" s="1"/>
  <c r="UX37" i="2"/>
  <c r="UU30" i="2"/>
  <c r="UW37" i="2"/>
  <c r="E40" i="11" s="1"/>
  <c r="G40" i="11" s="1"/>
  <c r="I40" i="11" s="1"/>
  <c r="CX36" i="6"/>
  <c r="DA36" i="6"/>
  <c r="CY36" i="6"/>
  <c r="CZ29" i="6"/>
  <c r="CZ36" i="6" s="1"/>
  <c r="C57" i="7"/>
  <c r="F40" i="11"/>
  <c r="UU34" i="2"/>
  <c r="UO34" i="2"/>
  <c r="UP37" i="2"/>
  <c r="E41" i="11" s="1"/>
  <c r="UO30" i="2"/>
  <c r="UV37" i="2"/>
  <c r="E39" i="11" s="1"/>
  <c r="E42" i="11" l="1"/>
  <c r="G42" i="11" s="1"/>
  <c r="I42" i="11" s="1"/>
  <c r="B57" i="7"/>
  <c r="UU37" i="2"/>
  <c r="G41" i="11"/>
  <c r="I41" i="11" s="1"/>
  <c r="H41" i="11"/>
  <c r="H39" i="11"/>
  <c r="G39" i="11"/>
  <c r="H40" i="11"/>
  <c r="F37" i="11"/>
  <c r="UO37" i="2"/>
  <c r="H42" i="11" l="1"/>
  <c r="E37" i="11"/>
  <c r="H32" i="11" s="1"/>
  <c r="I39" i="11"/>
  <c r="G37" i="11"/>
  <c r="I32" i="11" s="1"/>
  <c r="H37" i="11" l="1"/>
  <c r="I37" i="11"/>
  <c r="K32" i="6"/>
  <c r="AO31" i="17" s="1"/>
  <c r="AP31" i="17" s="1"/>
  <c r="K31" i="6"/>
  <c r="AO30" i="17" s="1"/>
  <c r="AP30" i="17" s="1"/>
  <c r="K12" i="6"/>
  <c r="AO11" i="17" s="1"/>
  <c r="K13" i="6"/>
  <c r="AO12" i="17" s="1"/>
  <c r="K14" i="6"/>
  <c r="AO13" i="17" s="1"/>
  <c r="K15" i="6"/>
  <c r="AO14" i="17" s="1"/>
  <c r="K16" i="6"/>
  <c r="AO15" i="17" s="1"/>
  <c r="K17" i="6"/>
  <c r="AO16" i="17" s="1"/>
  <c r="K18" i="6"/>
  <c r="AO17" i="17" s="1"/>
  <c r="K19" i="6"/>
  <c r="AO18" i="17" s="1"/>
  <c r="K20" i="6"/>
  <c r="AO19" i="17" s="1"/>
  <c r="K21" i="6"/>
  <c r="AO20" i="17" s="1"/>
  <c r="K22" i="6"/>
  <c r="AO21" i="17" s="1"/>
  <c r="K23" i="6"/>
  <c r="AO22" i="17" s="1"/>
  <c r="K24" i="6"/>
  <c r="AO23" i="17" s="1"/>
  <c r="K25" i="6"/>
  <c r="AO24" i="17" s="1"/>
  <c r="K26" i="6"/>
  <c r="AO25" i="17" s="1"/>
  <c r="K27" i="6"/>
  <c r="AO26" i="17" s="1"/>
  <c r="K28" i="6"/>
  <c r="AO27" i="17" s="1"/>
  <c r="K11" i="6"/>
  <c r="AO10" i="17" s="1"/>
  <c r="DI33" i="2"/>
  <c r="J32" i="6" s="1"/>
  <c r="AK31" i="17" s="1"/>
  <c r="AL31" i="17" s="1"/>
  <c r="DI32" i="2"/>
  <c r="J31" i="6" s="1"/>
  <c r="AK30" i="17" s="1"/>
  <c r="AL30" i="17" s="1"/>
  <c r="DH32" i="2"/>
  <c r="DH13" i="2"/>
  <c r="DI13" i="2"/>
  <c r="J12" i="6" s="1"/>
  <c r="AK11" i="17" s="1"/>
  <c r="DH14" i="2"/>
  <c r="DI14" i="2"/>
  <c r="J13" i="6" s="1"/>
  <c r="AK12" i="17" s="1"/>
  <c r="DH15" i="2"/>
  <c r="DI15" i="2"/>
  <c r="J14" i="6" s="1"/>
  <c r="AK13" i="17" s="1"/>
  <c r="DH16" i="2"/>
  <c r="DI16" i="2"/>
  <c r="J15" i="6" s="1"/>
  <c r="AK14" i="17" s="1"/>
  <c r="DH17" i="2"/>
  <c r="DI17" i="2"/>
  <c r="J16" i="6" s="1"/>
  <c r="AK15" i="17" s="1"/>
  <c r="DH18" i="2"/>
  <c r="DI18" i="2"/>
  <c r="J17" i="6" s="1"/>
  <c r="AK16" i="17" s="1"/>
  <c r="DH19" i="2"/>
  <c r="DI19" i="2"/>
  <c r="J18" i="6" s="1"/>
  <c r="AK17" i="17" s="1"/>
  <c r="DH20" i="2"/>
  <c r="DI20" i="2"/>
  <c r="J19" i="6" s="1"/>
  <c r="AK18" i="17" s="1"/>
  <c r="DH21" i="2"/>
  <c r="DI21" i="2"/>
  <c r="J20" i="6" s="1"/>
  <c r="AK19" i="17" s="1"/>
  <c r="DH22" i="2"/>
  <c r="DI22" i="2"/>
  <c r="J21" i="6" s="1"/>
  <c r="AK20" i="17" s="1"/>
  <c r="DH23" i="2"/>
  <c r="DI23" i="2"/>
  <c r="J22" i="6" s="1"/>
  <c r="AK21" i="17" s="1"/>
  <c r="DH24" i="2"/>
  <c r="DI24" i="2"/>
  <c r="J23" i="6" s="1"/>
  <c r="AK22" i="17" s="1"/>
  <c r="DH25" i="2"/>
  <c r="DI25" i="2"/>
  <c r="J24" i="6" s="1"/>
  <c r="AK23" i="17" s="1"/>
  <c r="DH26" i="2"/>
  <c r="DI26" i="2"/>
  <c r="J25" i="6" s="1"/>
  <c r="AK24" i="17" s="1"/>
  <c r="DH27" i="2"/>
  <c r="DI27" i="2"/>
  <c r="J26" i="6" s="1"/>
  <c r="AK25" i="17" s="1"/>
  <c r="DH28" i="2"/>
  <c r="DI28" i="2"/>
  <c r="J27" i="6" s="1"/>
  <c r="AK26" i="17" s="1"/>
  <c r="DH29" i="2"/>
  <c r="DI29" i="2"/>
  <c r="J28" i="6" s="1"/>
  <c r="AK27" i="17" s="1"/>
  <c r="DI12" i="2"/>
  <c r="J11" i="6" s="1"/>
  <c r="AK10" i="17" s="1"/>
  <c r="DH12" i="2"/>
  <c r="DL34" i="2"/>
  <c r="DK34" i="2"/>
  <c r="DJ33" i="2"/>
  <c r="DJ32" i="2"/>
  <c r="DL30" i="2"/>
  <c r="DK30" i="2"/>
  <c r="DJ29" i="2"/>
  <c r="DJ28" i="2"/>
  <c r="DJ27" i="2"/>
  <c r="DJ26" i="2"/>
  <c r="DJ25" i="2"/>
  <c r="DJ24" i="2"/>
  <c r="DJ23" i="2"/>
  <c r="DJ22" i="2"/>
  <c r="DJ21" i="2"/>
  <c r="DJ20" i="2"/>
  <c r="DJ19" i="2"/>
  <c r="DJ18" i="2"/>
  <c r="DJ17" i="2"/>
  <c r="DJ16" i="2"/>
  <c r="DJ15" i="2"/>
  <c r="DJ14" i="2"/>
  <c r="DJ13" i="2"/>
  <c r="DJ12" i="2"/>
  <c r="D289" i="8"/>
  <c r="H288" i="8"/>
  <c r="G288" i="8"/>
  <c r="I288" i="8" s="1"/>
  <c r="D286" i="8"/>
  <c r="H285" i="8"/>
  <c r="G285" i="8"/>
  <c r="I285" i="8" s="1"/>
  <c r="J284" i="8"/>
  <c r="DL37" i="2" l="1"/>
  <c r="DL42" i="2" s="1"/>
  <c r="AL32" i="17"/>
  <c r="AL35" i="17" s="1"/>
  <c r="AP32" i="17"/>
  <c r="AP35" i="17" s="1"/>
  <c r="C10" i="16"/>
  <c r="AK32" i="17"/>
  <c r="AO28" i="17"/>
  <c r="AO32" i="17"/>
  <c r="AK28" i="17"/>
  <c r="DK37" i="2"/>
  <c r="DK42" i="2" s="1"/>
  <c r="DJ34" i="2"/>
  <c r="DJ55" i="2" s="1"/>
  <c r="DG12" i="2"/>
  <c r="DG26" i="2"/>
  <c r="DG24" i="2"/>
  <c r="DG20" i="2"/>
  <c r="DG28" i="2"/>
  <c r="DG29" i="2"/>
  <c r="DG27" i="2"/>
  <c r="DG25" i="2"/>
  <c r="DG23" i="2"/>
  <c r="DG21" i="2"/>
  <c r="DG17" i="2"/>
  <c r="DG15" i="2"/>
  <c r="DG13" i="2"/>
  <c r="DG22" i="2"/>
  <c r="DG16" i="2"/>
  <c r="DG14" i="2"/>
  <c r="DG32" i="2"/>
  <c r="DG19" i="2"/>
  <c r="DJ30" i="2"/>
  <c r="DI30" i="2"/>
  <c r="DG18" i="2"/>
  <c r="DI34" i="2"/>
  <c r="DH30" i="2"/>
  <c r="K33" i="6"/>
  <c r="J33" i="6"/>
  <c r="C27" i="7" l="1"/>
  <c r="F287" i="8"/>
  <c r="F289" i="8" s="1"/>
  <c r="CU29" i="6"/>
  <c r="CW29" i="6"/>
  <c r="CU33" i="6"/>
  <c r="CW33" i="6"/>
  <c r="AO35" i="17"/>
  <c r="AO36" i="17" s="1"/>
  <c r="AK35" i="17"/>
  <c r="AK36" i="17" s="1"/>
  <c r="F284" i="8"/>
  <c r="F286" i="8" s="1"/>
  <c r="DJ37" i="2"/>
  <c r="DJ53" i="2" s="1"/>
  <c r="DJ54" i="2"/>
  <c r="DG30" i="2"/>
  <c r="DG54" i="2" s="1"/>
  <c r="DI37" i="2"/>
  <c r="E10" i="16" l="1"/>
  <c r="CU36" i="6"/>
  <c r="CW36" i="6"/>
  <c r="CT29" i="6"/>
  <c r="CT33" i="6"/>
  <c r="E287" i="8"/>
  <c r="B27" i="7"/>
  <c r="CV33" i="6" l="1"/>
  <c r="CV29" i="6"/>
  <c r="UN34" i="2"/>
  <c r="UN30" i="2"/>
  <c r="CT36" i="6"/>
  <c r="CV36" i="6" l="1"/>
  <c r="UM34" i="2"/>
  <c r="UM30" i="2"/>
  <c r="UN37" i="2"/>
  <c r="UL34" i="2" l="1"/>
  <c r="UK34" i="2"/>
  <c r="UL30" i="2"/>
  <c r="UK30" i="2"/>
  <c r="UM37" i="2"/>
  <c r="GJ33" i="2"/>
  <c r="GK33" i="2"/>
  <c r="AF32" i="6" s="1"/>
  <c r="DU31" i="17" s="1"/>
  <c r="DV31" i="17" s="1"/>
  <c r="GK32" i="2"/>
  <c r="AF31" i="6" s="1"/>
  <c r="DU30" i="17" s="1"/>
  <c r="DV30" i="17" s="1"/>
  <c r="GJ32" i="2"/>
  <c r="AG32" i="6"/>
  <c r="DY31" i="17" s="1"/>
  <c r="DZ31" i="17" s="1"/>
  <c r="AG31" i="6"/>
  <c r="DY30" i="17" s="1"/>
  <c r="DZ30" i="17" s="1"/>
  <c r="AG12" i="6"/>
  <c r="DY11" i="17" s="1"/>
  <c r="AG13" i="6"/>
  <c r="DY12" i="17" s="1"/>
  <c r="AG14" i="6"/>
  <c r="DY13" i="17" s="1"/>
  <c r="AG15" i="6"/>
  <c r="DY14" i="17" s="1"/>
  <c r="AG16" i="6"/>
  <c r="DY15" i="17" s="1"/>
  <c r="AG17" i="6"/>
  <c r="DY16" i="17" s="1"/>
  <c r="AG18" i="6"/>
  <c r="DY17" i="17" s="1"/>
  <c r="AG19" i="6"/>
  <c r="DY18" i="17" s="1"/>
  <c r="AG20" i="6"/>
  <c r="DY19" i="17" s="1"/>
  <c r="AG21" i="6"/>
  <c r="DY20" i="17" s="1"/>
  <c r="AG22" i="6"/>
  <c r="DY21" i="17" s="1"/>
  <c r="AG23" i="6"/>
  <c r="DY22" i="17" s="1"/>
  <c r="AG24" i="6"/>
  <c r="DY23" i="17" s="1"/>
  <c r="AG25" i="6"/>
  <c r="DY24" i="17" s="1"/>
  <c r="AG26" i="6"/>
  <c r="DY25" i="17" s="1"/>
  <c r="AG27" i="6"/>
  <c r="DY26" i="17" s="1"/>
  <c r="AG28" i="6"/>
  <c r="DY27" i="17" s="1"/>
  <c r="AG11" i="6"/>
  <c r="DY10" i="17" s="1"/>
  <c r="GT14" i="2"/>
  <c r="GU14" i="2"/>
  <c r="AF13" i="6" s="1"/>
  <c r="DU12" i="17" s="1"/>
  <c r="GT15" i="2"/>
  <c r="GU15" i="2"/>
  <c r="AF14" i="6" s="1"/>
  <c r="DU13" i="17" s="1"/>
  <c r="GT16" i="2"/>
  <c r="GU16" i="2"/>
  <c r="AF15" i="6" s="1"/>
  <c r="DU14" i="17" s="1"/>
  <c r="GT17" i="2"/>
  <c r="GU17" i="2"/>
  <c r="AF16" i="6" s="1"/>
  <c r="DU15" i="17" s="1"/>
  <c r="GT18" i="2"/>
  <c r="GU18" i="2"/>
  <c r="AF17" i="6" s="1"/>
  <c r="DU16" i="17" s="1"/>
  <c r="GT20" i="2"/>
  <c r="GU20" i="2"/>
  <c r="AF19" i="6" s="1"/>
  <c r="DU18" i="17" s="1"/>
  <c r="GT21" i="2"/>
  <c r="GU21" i="2"/>
  <c r="AF20" i="6" s="1"/>
  <c r="DU19" i="17" s="1"/>
  <c r="GT22" i="2"/>
  <c r="GU22" i="2"/>
  <c r="AF21" i="6" s="1"/>
  <c r="DU20" i="17" s="1"/>
  <c r="GT23" i="2"/>
  <c r="GU23" i="2"/>
  <c r="AF22" i="6" s="1"/>
  <c r="DU21" i="17" s="1"/>
  <c r="GT24" i="2"/>
  <c r="GU24" i="2"/>
  <c r="AF23" i="6" s="1"/>
  <c r="DU22" i="17" s="1"/>
  <c r="GT25" i="2"/>
  <c r="GU25" i="2"/>
  <c r="AF24" i="6" s="1"/>
  <c r="DU23" i="17" s="1"/>
  <c r="GT26" i="2"/>
  <c r="GU26" i="2"/>
  <c r="AF25" i="6" s="1"/>
  <c r="DU24" i="17" s="1"/>
  <c r="GT27" i="2"/>
  <c r="GU27" i="2"/>
  <c r="AF26" i="6" s="1"/>
  <c r="DU25" i="17" s="1"/>
  <c r="GT28" i="2"/>
  <c r="GU28" i="2"/>
  <c r="AF27" i="6" s="1"/>
  <c r="DU26" i="17" s="1"/>
  <c r="GU12" i="2"/>
  <c r="AF11" i="6" s="1"/>
  <c r="DU10" i="17" s="1"/>
  <c r="GT12" i="2"/>
  <c r="HN13" i="2"/>
  <c r="HO13" i="2"/>
  <c r="DX11" i="17" s="1"/>
  <c r="HN14" i="2"/>
  <c r="HO14" i="2"/>
  <c r="DX12" i="17" s="1"/>
  <c r="HN15" i="2"/>
  <c r="HO15" i="2"/>
  <c r="DX13" i="17" s="1"/>
  <c r="HN16" i="2"/>
  <c r="HO16" i="2"/>
  <c r="DX14" i="17" s="1"/>
  <c r="HN17" i="2"/>
  <c r="HO17" i="2"/>
  <c r="DX15" i="17" s="1"/>
  <c r="HN18" i="2"/>
  <c r="HO18" i="2"/>
  <c r="DX16" i="17" s="1"/>
  <c r="HN19" i="2"/>
  <c r="HO19" i="2"/>
  <c r="DX17" i="17" s="1"/>
  <c r="HN20" i="2"/>
  <c r="HO20" i="2"/>
  <c r="DX18" i="17" s="1"/>
  <c r="HN21" i="2"/>
  <c r="HO21" i="2"/>
  <c r="DX19" i="17" s="1"/>
  <c r="HN22" i="2"/>
  <c r="HO22" i="2"/>
  <c r="DX20" i="17" s="1"/>
  <c r="HN23" i="2"/>
  <c r="HO23" i="2"/>
  <c r="DX21" i="17" s="1"/>
  <c r="HN24" i="2"/>
  <c r="HO24" i="2"/>
  <c r="DX22" i="17" s="1"/>
  <c r="HN25" i="2"/>
  <c r="HO25" i="2"/>
  <c r="DX23" i="17" s="1"/>
  <c r="HN26" i="2"/>
  <c r="HO26" i="2"/>
  <c r="DX24" i="17" s="1"/>
  <c r="HN27" i="2"/>
  <c r="HO27" i="2"/>
  <c r="DX25" i="17" s="1"/>
  <c r="HN28" i="2"/>
  <c r="HO28" i="2"/>
  <c r="DX26" i="17" s="1"/>
  <c r="HN29" i="2"/>
  <c r="HO29" i="2"/>
  <c r="DX27" i="17" s="1"/>
  <c r="HO12" i="2"/>
  <c r="DX10" i="17" s="1"/>
  <c r="HN12" i="2"/>
  <c r="GO40" i="2"/>
  <c r="HT34" i="2"/>
  <c r="HS34" i="2"/>
  <c r="HO34" i="2"/>
  <c r="HN34" i="2"/>
  <c r="HJ34" i="2"/>
  <c r="HI34" i="2"/>
  <c r="HE34" i="2"/>
  <c r="HD34" i="2"/>
  <c r="GZ34" i="2"/>
  <c r="GY34" i="2"/>
  <c r="GU34" i="2"/>
  <c r="GT34" i="2"/>
  <c r="GP34" i="2"/>
  <c r="GO34" i="2"/>
  <c r="GL33" i="2"/>
  <c r="GL32" i="2"/>
  <c r="HT30" i="2"/>
  <c r="HT37" i="2" s="1"/>
  <c r="HS30" i="2"/>
  <c r="HS37" i="2" s="1"/>
  <c r="GZ30" i="2"/>
  <c r="GY30" i="2"/>
  <c r="GP30" i="2"/>
  <c r="GP37" i="2" s="1"/>
  <c r="GO30" i="2"/>
  <c r="GK30" i="2"/>
  <c r="GJ30" i="2"/>
  <c r="HJ29" i="2"/>
  <c r="EA27" i="17" s="1"/>
  <c r="HI29" i="2"/>
  <c r="GL29" i="2"/>
  <c r="GG29" i="2"/>
  <c r="HJ28" i="2"/>
  <c r="EA26" i="17" s="1"/>
  <c r="HI28" i="2"/>
  <c r="GL28" i="2"/>
  <c r="GG28" i="2"/>
  <c r="HJ27" i="2"/>
  <c r="EA25" i="17" s="1"/>
  <c r="HI27" i="2"/>
  <c r="GL27" i="2"/>
  <c r="GG27" i="2"/>
  <c r="HJ26" i="2"/>
  <c r="EA24" i="17" s="1"/>
  <c r="HI26" i="2"/>
  <c r="GL26" i="2"/>
  <c r="GG26" i="2"/>
  <c r="HJ25" i="2"/>
  <c r="EA23" i="17" s="1"/>
  <c r="HI25" i="2"/>
  <c r="GL25" i="2"/>
  <c r="GG25" i="2"/>
  <c r="HJ24" i="2"/>
  <c r="EA22" i="17" s="1"/>
  <c r="HI24" i="2"/>
  <c r="GL24" i="2"/>
  <c r="GG24" i="2"/>
  <c r="HJ23" i="2"/>
  <c r="EA21" i="17" s="1"/>
  <c r="HI23" i="2"/>
  <c r="GL23" i="2"/>
  <c r="GG23" i="2"/>
  <c r="HJ22" i="2"/>
  <c r="EA20" i="17" s="1"/>
  <c r="HI22" i="2"/>
  <c r="GL22" i="2"/>
  <c r="GG22" i="2"/>
  <c r="HJ21" i="2"/>
  <c r="EA19" i="17" s="1"/>
  <c r="HI21" i="2"/>
  <c r="GL21" i="2"/>
  <c r="GG21" i="2"/>
  <c r="HJ20" i="2"/>
  <c r="EA18" i="17" s="1"/>
  <c r="HI20" i="2"/>
  <c r="GL20" i="2"/>
  <c r="GG20" i="2"/>
  <c r="HJ19" i="2"/>
  <c r="EA17" i="17" s="1"/>
  <c r="HI19" i="2"/>
  <c r="GL19" i="2"/>
  <c r="GG19" i="2"/>
  <c r="HJ18" i="2"/>
  <c r="EA16" i="17" s="1"/>
  <c r="HI18" i="2"/>
  <c r="GL18" i="2"/>
  <c r="GG18" i="2"/>
  <c r="HJ17" i="2"/>
  <c r="EA15" i="17" s="1"/>
  <c r="HI17" i="2"/>
  <c r="GL17" i="2"/>
  <c r="GG17" i="2"/>
  <c r="HJ16" i="2"/>
  <c r="EA14" i="17" s="1"/>
  <c r="HI16" i="2"/>
  <c r="GL16" i="2"/>
  <c r="GG16" i="2"/>
  <c r="HJ15" i="2"/>
  <c r="EA13" i="17" s="1"/>
  <c r="HI15" i="2"/>
  <c r="GL15" i="2"/>
  <c r="GG15" i="2"/>
  <c r="HJ14" i="2"/>
  <c r="EA12" i="17" s="1"/>
  <c r="HI14" i="2"/>
  <c r="GL14" i="2"/>
  <c r="GG14" i="2"/>
  <c r="HJ13" i="2"/>
  <c r="EA11" i="17" s="1"/>
  <c r="HI13" i="2"/>
  <c r="GL13" i="2"/>
  <c r="GG13" i="2"/>
  <c r="HJ12" i="2"/>
  <c r="EA10" i="17" s="1"/>
  <c r="HI12" i="2"/>
  <c r="GL12" i="2"/>
  <c r="GG12" i="2"/>
  <c r="D31" i="8"/>
  <c r="D28" i="8"/>
  <c r="J27" i="8"/>
  <c r="GO37" i="2" l="1"/>
  <c r="EA28" i="17"/>
  <c r="EA35" i="17" s="1"/>
  <c r="HF12" i="2"/>
  <c r="HF13" i="2"/>
  <c r="HF14" i="2"/>
  <c r="HF15" i="2"/>
  <c r="HF16" i="2"/>
  <c r="HF17" i="2"/>
  <c r="HF18" i="2"/>
  <c r="HF19" i="2"/>
  <c r="HF20" i="2"/>
  <c r="HF21" i="2"/>
  <c r="DX28" i="17"/>
  <c r="DX35" i="17" s="1"/>
  <c r="DY28" i="17"/>
  <c r="DZ32" i="17"/>
  <c r="DZ35" i="17" s="1"/>
  <c r="DV32" i="17"/>
  <c r="DV35" i="17" s="1"/>
  <c r="DY32" i="17"/>
  <c r="DU32" i="17"/>
  <c r="HF22" i="2"/>
  <c r="HF23" i="2"/>
  <c r="HF24" i="2"/>
  <c r="HF25" i="2"/>
  <c r="HF26" i="2"/>
  <c r="HF27" i="2"/>
  <c r="HF28" i="2"/>
  <c r="HF29" i="2"/>
  <c r="UL37" i="2"/>
  <c r="UK37" i="2"/>
  <c r="HE25" i="2"/>
  <c r="DW23" i="17" s="1"/>
  <c r="HK28" i="2"/>
  <c r="HK24" i="2"/>
  <c r="HK22" i="2"/>
  <c r="HK20" i="2"/>
  <c r="HK18" i="2"/>
  <c r="GQ14" i="2"/>
  <c r="GQ18" i="2"/>
  <c r="HK16" i="2"/>
  <c r="GQ23" i="2"/>
  <c r="GQ21" i="2"/>
  <c r="GQ16" i="2"/>
  <c r="GQ27" i="2"/>
  <c r="HK29" i="2"/>
  <c r="HK27" i="2"/>
  <c r="HK25" i="2"/>
  <c r="HK23" i="2"/>
  <c r="HK21" i="2"/>
  <c r="GQ15" i="2"/>
  <c r="GQ12" i="2"/>
  <c r="HK19" i="2"/>
  <c r="HK17" i="2"/>
  <c r="HK15" i="2"/>
  <c r="GQ28" i="2"/>
  <c r="GQ26" i="2"/>
  <c r="GQ24" i="2"/>
  <c r="GQ22" i="2"/>
  <c r="GQ17" i="2"/>
  <c r="HD26" i="2"/>
  <c r="HK26" i="2"/>
  <c r="HK14" i="2"/>
  <c r="GQ25" i="2"/>
  <c r="HK12" i="2"/>
  <c r="HK13" i="2"/>
  <c r="GQ20" i="2"/>
  <c r="HE20" i="2"/>
  <c r="DW18" i="17" s="1"/>
  <c r="HD23" i="2"/>
  <c r="HD16" i="2"/>
  <c r="HD14" i="2"/>
  <c r="AG33" i="6"/>
  <c r="GV30" i="2"/>
  <c r="HE24" i="2"/>
  <c r="DW22" i="17" s="1"/>
  <c r="GL30" i="2"/>
  <c r="HJ30" i="2"/>
  <c r="HJ37" i="2" s="1"/>
  <c r="HD27" i="2"/>
  <c r="HD25" i="2"/>
  <c r="HE26" i="2"/>
  <c r="DW24" i="17" s="1"/>
  <c r="GY37" i="2"/>
  <c r="GO38" i="2" s="1"/>
  <c r="HA34" i="2"/>
  <c r="HI30" i="2"/>
  <c r="HI37" i="2" s="1"/>
  <c r="GL34" i="2"/>
  <c r="AG29" i="6"/>
  <c r="HD21" i="2"/>
  <c r="HD17" i="2"/>
  <c r="HO30" i="2"/>
  <c r="HO37" i="2" s="1"/>
  <c r="HE28" i="2"/>
  <c r="DW26" i="17" s="1"/>
  <c r="HD22" i="2"/>
  <c r="HE18" i="2"/>
  <c r="DW16" i="17" s="1"/>
  <c r="HE15" i="2"/>
  <c r="DW13" i="17" s="1"/>
  <c r="GK34" i="2"/>
  <c r="GK37" i="2" s="1"/>
  <c r="HE14" i="2"/>
  <c r="DW12" i="17" s="1"/>
  <c r="HE17" i="2"/>
  <c r="DW15" i="17" s="1"/>
  <c r="HD18" i="2"/>
  <c r="HD24" i="2"/>
  <c r="HE27" i="2"/>
  <c r="DW25" i="17" s="1"/>
  <c r="GG30" i="2"/>
  <c r="HN30" i="2"/>
  <c r="HN37" i="2" s="1"/>
  <c r="HD15" i="2"/>
  <c r="HE16" i="2"/>
  <c r="DW14" i="17" s="1"/>
  <c r="HD20" i="2"/>
  <c r="HE21" i="2"/>
  <c r="DW19" i="17" s="1"/>
  <c r="HE22" i="2"/>
  <c r="DW20" i="17" s="1"/>
  <c r="HE23" i="2"/>
  <c r="DW21" i="17" s="1"/>
  <c r="HD28" i="2"/>
  <c r="GZ37" i="2"/>
  <c r="GP38" i="2" s="1"/>
  <c r="GJ34" i="2"/>
  <c r="GJ37" i="2" s="1"/>
  <c r="GV34" i="2"/>
  <c r="GG32" i="2"/>
  <c r="GG33" i="2"/>
  <c r="HE12" i="2"/>
  <c r="DW10" i="17" s="1"/>
  <c r="HD12" i="2"/>
  <c r="AF33" i="6"/>
  <c r="DY35" i="17" l="1"/>
  <c r="DY36" i="17" s="1"/>
  <c r="HF30" i="2"/>
  <c r="HF37" i="2" s="1"/>
  <c r="HA25" i="2"/>
  <c r="HA15" i="2"/>
  <c r="HK30" i="2"/>
  <c r="HK37" i="2" s="1"/>
  <c r="HA24" i="2"/>
  <c r="HA26" i="2"/>
  <c r="HA22" i="2"/>
  <c r="HA21" i="2"/>
  <c r="HA27" i="2"/>
  <c r="HA23" i="2"/>
  <c r="HA28" i="2"/>
  <c r="HA20" i="2"/>
  <c r="HA17" i="2"/>
  <c r="HA16" i="2"/>
  <c r="HA12" i="2"/>
  <c r="HA18" i="2"/>
  <c r="HA14" i="2"/>
  <c r="GV37" i="2"/>
  <c r="AR46" i="1" s="1"/>
  <c r="GL37" i="2"/>
  <c r="AG36" i="6"/>
  <c r="GP42" i="2"/>
  <c r="C31" i="7"/>
  <c r="F30" i="8"/>
  <c r="GO42" i="2"/>
  <c r="F27" i="8"/>
  <c r="GG34" i="2"/>
  <c r="GG37" i="2" s="1"/>
  <c r="F28" i="8" l="1"/>
  <c r="F31" i="8"/>
  <c r="G29" i="8"/>
  <c r="I29" i="8" s="1"/>
  <c r="H29" i="8" l="1"/>
  <c r="G32" i="8" l="1"/>
  <c r="I32" i="8" s="1"/>
  <c r="H32" i="8"/>
  <c r="CE32" i="6" l="1"/>
  <c r="CE31" i="6"/>
  <c r="CE12" i="6"/>
  <c r="CE13" i="6"/>
  <c r="CE14" i="6"/>
  <c r="CE15" i="6"/>
  <c r="CE16" i="6"/>
  <c r="CE17" i="6"/>
  <c r="CE18" i="6"/>
  <c r="CE19" i="6"/>
  <c r="CE20" i="6"/>
  <c r="CE21" i="6"/>
  <c r="CE22" i="6"/>
  <c r="CE23" i="6"/>
  <c r="CE24" i="6"/>
  <c r="CE25" i="6"/>
  <c r="CE26" i="6"/>
  <c r="CE27" i="6"/>
  <c r="CE28" i="6"/>
  <c r="CE11" i="6"/>
  <c r="RW33" i="2"/>
  <c r="RW32" i="2"/>
  <c r="RW13" i="2"/>
  <c r="RW14" i="2"/>
  <c r="RW15" i="2"/>
  <c r="RW16" i="2"/>
  <c r="RW17" i="2"/>
  <c r="RW18" i="2"/>
  <c r="RW19" i="2"/>
  <c r="RW20" i="2"/>
  <c r="RW21" i="2"/>
  <c r="RW22" i="2"/>
  <c r="RW23" i="2"/>
  <c r="RW24" i="2"/>
  <c r="RW25" i="2"/>
  <c r="RW26" i="2"/>
  <c r="RW27" i="2"/>
  <c r="RW28" i="2"/>
  <c r="RW29" i="2"/>
  <c r="RW12" i="2"/>
  <c r="RX34" i="2"/>
  <c r="RX30" i="2"/>
  <c r="I22" i="11"/>
  <c r="H22" i="11"/>
  <c r="CD19" i="6" l="1"/>
  <c r="CD26" i="6"/>
  <c r="CD22" i="6"/>
  <c r="CD18" i="6"/>
  <c r="CD14" i="6"/>
  <c r="CD32" i="6"/>
  <c r="CD27" i="6"/>
  <c r="CD15" i="6"/>
  <c r="CD28" i="6"/>
  <c r="CD24" i="6"/>
  <c r="CD20" i="6"/>
  <c r="CD16" i="6"/>
  <c r="CD12" i="6"/>
  <c r="CD23" i="6"/>
  <c r="CD31" i="6"/>
  <c r="CD11" i="6"/>
  <c r="CD25" i="6"/>
  <c r="CD21" i="6"/>
  <c r="CD17" i="6"/>
  <c r="RX37" i="2"/>
  <c r="RX38" i="2" s="1"/>
  <c r="RW30" i="2"/>
  <c r="RW34" i="2"/>
  <c r="CD13" i="6"/>
  <c r="CE29" i="6"/>
  <c r="CE33" i="6"/>
  <c r="CD33" i="6" l="1"/>
  <c r="CD29" i="6"/>
  <c r="C51" i="7"/>
  <c r="CE36" i="6"/>
  <c r="RW37" i="2"/>
  <c r="B51" i="7" s="1"/>
  <c r="NF34" i="2"/>
  <c r="NJ34" i="2"/>
  <c r="MX13" i="2"/>
  <c r="MX14" i="2"/>
  <c r="MX15" i="2"/>
  <c r="MX16" i="2"/>
  <c r="MX17" i="2"/>
  <c r="MX18" i="2"/>
  <c r="MX19" i="2"/>
  <c r="MX20" i="2"/>
  <c r="MX21" i="2"/>
  <c r="MX22" i="2"/>
  <c r="MX23" i="2"/>
  <c r="MX24" i="2"/>
  <c r="MX25" i="2"/>
  <c r="MX26" i="2"/>
  <c r="MX27" i="2"/>
  <c r="MX28" i="2"/>
  <c r="MX29" i="2"/>
  <c r="MX12" i="2"/>
  <c r="MP33" i="2"/>
  <c r="MP32" i="2"/>
  <c r="MP30" i="2"/>
  <c r="NO13" i="2"/>
  <c r="NO14" i="2"/>
  <c r="NO15" i="2"/>
  <c r="NO16" i="2"/>
  <c r="NO17" i="2"/>
  <c r="NO18" i="2"/>
  <c r="NO19" i="2"/>
  <c r="NO20" i="2"/>
  <c r="NO21" i="2"/>
  <c r="NO22" i="2"/>
  <c r="NO23" i="2"/>
  <c r="NO24" i="2"/>
  <c r="NO25" i="2"/>
  <c r="NO26" i="2"/>
  <c r="NO27" i="2"/>
  <c r="NO28" i="2"/>
  <c r="NO29" i="2"/>
  <c r="NO12" i="2"/>
  <c r="MT30" i="2"/>
  <c r="MX34" i="2"/>
  <c r="NB34" i="2"/>
  <c r="NR34" i="2"/>
  <c r="NR30" i="2"/>
  <c r="NN34" i="2"/>
  <c r="CD36" i="6" l="1"/>
  <c r="NB14" i="2"/>
  <c r="NB27" i="2"/>
  <c r="NB23" i="2"/>
  <c r="MT32" i="2"/>
  <c r="NB16" i="2"/>
  <c r="NB13" i="2"/>
  <c r="NB12" i="2"/>
  <c r="MP34" i="2"/>
  <c r="MP37" i="2" s="1"/>
  <c r="NF21" i="2"/>
  <c r="NF13" i="2"/>
  <c r="NN30" i="2"/>
  <c r="NN37" i="2" s="1"/>
  <c r="NF27" i="2"/>
  <c r="NF23" i="2"/>
  <c r="NF24" i="2"/>
  <c r="NF20" i="2"/>
  <c r="NF17" i="2"/>
  <c r="NF25" i="2"/>
  <c r="NF29" i="2"/>
  <c r="NR37" i="2"/>
  <c r="NF16" i="2"/>
  <c r="NF26" i="2"/>
  <c r="NF22" i="2"/>
  <c r="NF18" i="2"/>
  <c r="NF14" i="2"/>
  <c r="NF28" i="2"/>
  <c r="NF12" i="2"/>
  <c r="NF19" i="2"/>
  <c r="NF15" i="2"/>
  <c r="MX30" i="2"/>
  <c r="MX37" i="2" s="1"/>
  <c r="MY22" i="2" l="1"/>
  <c r="MY25" i="2"/>
  <c r="MY23" i="2"/>
  <c r="MY13" i="2"/>
  <c r="MY15" i="2"/>
  <c r="MY12" i="2"/>
  <c r="MQ32" i="2"/>
  <c r="MY14" i="2"/>
  <c r="MY26" i="2"/>
  <c r="MY16" i="2"/>
  <c r="MY27" i="2"/>
  <c r="MT34" i="2"/>
  <c r="MT37" i="2" s="1"/>
  <c r="NB30" i="2"/>
  <c r="NB37" i="2" s="1"/>
  <c r="NJ14" i="2"/>
  <c r="NJ22" i="2"/>
  <c r="NJ12" i="2"/>
  <c r="NJ17" i="2"/>
  <c r="NJ25" i="2"/>
  <c r="NJ16" i="2"/>
  <c r="NJ24" i="2"/>
  <c r="MQ34" i="2"/>
  <c r="NJ19" i="2"/>
  <c r="NJ27" i="2"/>
  <c r="NJ18" i="2"/>
  <c r="NJ26" i="2"/>
  <c r="NJ13" i="2"/>
  <c r="NJ21" i="2"/>
  <c r="NJ29" i="2"/>
  <c r="NJ20" i="2"/>
  <c r="NJ28" i="2"/>
  <c r="NJ15" i="2"/>
  <c r="NJ23" i="2"/>
  <c r="NF30" i="2"/>
  <c r="NF37" i="2" s="1"/>
  <c r="MP38" i="2"/>
  <c r="E172" i="8" s="1"/>
  <c r="MY30" i="2" l="1"/>
  <c r="E175" i="8"/>
  <c r="G175" i="8" s="1"/>
  <c r="I175" i="8" s="1"/>
  <c r="MT38" i="2"/>
  <c r="MT42" i="2" s="1"/>
  <c r="NJ30" i="2"/>
  <c r="NJ37" i="2" s="1"/>
  <c r="F80" i="8"/>
  <c r="D81" i="8"/>
  <c r="LX42" i="2"/>
  <c r="LS33" i="2"/>
  <c r="LS32" i="2"/>
  <c r="LS29" i="2"/>
  <c r="LS13" i="2"/>
  <c r="LS14" i="2"/>
  <c r="LS15" i="2"/>
  <c r="LS16" i="2"/>
  <c r="LS17" i="2"/>
  <c r="LS18" i="2"/>
  <c r="LS19" i="2"/>
  <c r="LS20" i="2"/>
  <c r="LS21" i="2"/>
  <c r="LS22" i="2"/>
  <c r="LS23" i="2"/>
  <c r="LS24" i="2"/>
  <c r="LS25" i="2"/>
  <c r="LS26" i="2"/>
  <c r="LS27" i="2"/>
  <c r="LS28" i="2"/>
  <c r="LS12" i="2"/>
  <c r="H281" i="8"/>
  <c r="H282" i="8"/>
  <c r="D283" i="8"/>
  <c r="LJ33" i="2"/>
  <c r="LJ32" i="2"/>
  <c r="LJ13" i="2"/>
  <c r="LJ14" i="2"/>
  <c r="LJ15" i="2"/>
  <c r="LJ16" i="2"/>
  <c r="LJ17" i="2"/>
  <c r="LJ18" i="2"/>
  <c r="LJ19" i="2"/>
  <c r="LJ20" i="2"/>
  <c r="LJ21" i="2"/>
  <c r="LJ22" i="2"/>
  <c r="LJ23" i="2"/>
  <c r="LJ24" i="2"/>
  <c r="LJ25" i="2"/>
  <c r="LJ26" i="2"/>
  <c r="LJ27" i="2"/>
  <c r="LJ28" i="2"/>
  <c r="LJ29" i="2"/>
  <c r="LJ12" i="2"/>
  <c r="LK32" i="2"/>
  <c r="LK29" i="2"/>
  <c r="LK28" i="2"/>
  <c r="LK26" i="2"/>
  <c r="LK25" i="2"/>
  <c r="LK24" i="2"/>
  <c r="LK23" i="2"/>
  <c r="LK22" i="2"/>
  <c r="LK21" i="2"/>
  <c r="LK20" i="2"/>
  <c r="LK19" i="2"/>
  <c r="LK18" i="2"/>
  <c r="LK17" i="2"/>
  <c r="LK16" i="2"/>
  <c r="LK15" i="2"/>
  <c r="LK14" i="2"/>
  <c r="LK13" i="2"/>
  <c r="LK12" i="2"/>
  <c r="AZ29" i="6" s="1"/>
  <c r="LP34" i="2"/>
  <c r="LP30" i="2"/>
  <c r="F172" i="8" l="1"/>
  <c r="AZ33" i="6"/>
  <c r="AZ36" i="6" s="1"/>
  <c r="LP37" i="2"/>
  <c r="LP42" i="2" s="1"/>
  <c r="LS34" i="2"/>
  <c r="LS30" i="2"/>
  <c r="F81" i="8"/>
  <c r="LJ34" i="2"/>
  <c r="LJ30" i="2"/>
  <c r="F175" i="8" l="1"/>
  <c r="H175" i="8" s="1"/>
  <c r="F280" i="8"/>
  <c r="F283" i="8" s="1"/>
  <c r="LS37" i="2"/>
  <c r="E80" i="8" s="1"/>
  <c r="H80" i="8" s="1"/>
  <c r="LJ37" i="2"/>
  <c r="E280" i="8" s="1"/>
  <c r="E283" i="8" s="1"/>
  <c r="H283" i="8" l="1"/>
  <c r="E81" i="8"/>
  <c r="G81" i="8" s="1"/>
  <c r="I81" i="8" s="1"/>
  <c r="G80" i="8"/>
  <c r="I80" i="8" s="1"/>
  <c r="H280" i="8"/>
  <c r="G280" i="8"/>
  <c r="G283" i="8" s="1"/>
  <c r="DP33" i="2"/>
  <c r="DO33" i="2"/>
  <c r="DP32" i="2"/>
  <c r="DO32" i="2"/>
  <c r="DO13" i="2"/>
  <c r="DP13" i="2"/>
  <c r="DO14" i="2"/>
  <c r="DP14" i="2"/>
  <c r="DO15" i="2"/>
  <c r="DP15" i="2"/>
  <c r="DO16" i="2"/>
  <c r="DP16" i="2"/>
  <c r="DO17" i="2"/>
  <c r="DP17" i="2"/>
  <c r="DO18" i="2"/>
  <c r="DP18" i="2"/>
  <c r="DO19" i="2"/>
  <c r="DP19" i="2"/>
  <c r="DO20" i="2"/>
  <c r="DP20" i="2"/>
  <c r="DO21" i="2"/>
  <c r="DP21" i="2"/>
  <c r="DO22" i="2"/>
  <c r="DP22" i="2"/>
  <c r="DO23" i="2"/>
  <c r="DP23" i="2"/>
  <c r="DO24" i="2"/>
  <c r="DP24" i="2"/>
  <c r="DO25" i="2"/>
  <c r="DP25" i="2"/>
  <c r="DO26" i="2"/>
  <c r="DP26" i="2"/>
  <c r="DO27" i="2"/>
  <c r="DP27" i="2"/>
  <c r="DO28" i="2"/>
  <c r="DP28" i="2"/>
  <c r="DO29" i="2"/>
  <c r="DP29" i="2"/>
  <c r="DP12" i="2"/>
  <c r="DO12" i="2"/>
  <c r="J412" i="8"/>
  <c r="AS32" i="6"/>
  <c r="FU31" i="17" s="1"/>
  <c r="FV31" i="17" s="1"/>
  <c r="AS31" i="6"/>
  <c r="FU30" i="17" s="1"/>
  <c r="AS12" i="6"/>
  <c r="FU11" i="17" s="1"/>
  <c r="FV11" i="17" s="1"/>
  <c r="AS13" i="6"/>
  <c r="FU12" i="17" s="1"/>
  <c r="FV12" i="17" s="1"/>
  <c r="AS14" i="6"/>
  <c r="FU13" i="17" s="1"/>
  <c r="FV13" i="17" s="1"/>
  <c r="AS15" i="6"/>
  <c r="FU14" i="17" s="1"/>
  <c r="FV14" i="17" s="1"/>
  <c r="AS16" i="6"/>
  <c r="FU15" i="17" s="1"/>
  <c r="FV15" i="17" s="1"/>
  <c r="AS17" i="6"/>
  <c r="FU16" i="17" s="1"/>
  <c r="FV16" i="17" s="1"/>
  <c r="AS18" i="6"/>
  <c r="FU17" i="17" s="1"/>
  <c r="FV17" i="17" s="1"/>
  <c r="AS19" i="6"/>
  <c r="FU18" i="17" s="1"/>
  <c r="FV18" i="17" s="1"/>
  <c r="AS20" i="6"/>
  <c r="FU19" i="17" s="1"/>
  <c r="FV19" i="17" s="1"/>
  <c r="AS21" i="6"/>
  <c r="FU20" i="17" s="1"/>
  <c r="FV20" i="17" s="1"/>
  <c r="AS22" i="6"/>
  <c r="FU21" i="17" s="1"/>
  <c r="FV21" i="17" s="1"/>
  <c r="AS23" i="6"/>
  <c r="FU22" i="17" s="1"/>
  <c r="FV22" i="17" s="1"/>
  <c r="AS24" i="6"/>
  <c r="FU23" i="17" s="1"/>
  <c r="FV23" i="17" s="1"/>
  <c r="AS25" i="6"/>
  <c r="FU24" i="17" s="1"/>
  <c r="FV24" i="17" s="1"/>
  <c r="AS26" i="6"/>
  <c r="FU25" i="17" s="1"/>
  <c r="FV25" i="17" s="1"/>
  <c r="AS27" i="6"/>
  <c r="FU26" i="17" s="1"/>
  <c r="FV26" i="17" s="1"/>
  <c r="AS28" i="6"/>
  <c r="FU27" i="17" s="1"/>
  <c r="FV27" i="17" s="1"/>
  <c r="AS11" i="6"/>
  <c r="FU10" i="17" s="1"/>
  <c r="FV10" i="17" s="1"/>
  <c r="JM33" i="2"/>
  <c r="AR32" i="6" s="1"/>
  <c r="FQ31" i="17" s="1"/>
  <c r="FR31" i="17" s="1"/>
  <c r="JL33" i="2"/>
  <c r="JM32" i="2"/>
  <c r="JL32" i="2"/>
  <c r="JL13" i="2"/>
  <c r="JM13" i="2"/>
  <c r="JL14" i="2"/>
  <c r="JM14" i="2"/>
  <c r="AR13" i="6" s="1"/>
  <c r="FQ12" i="17" s="1"/>
  <c r="FR12" i="17" s="1"/>
  <c r="JL15" i="2"/>
  <c r="JM15" i="2"/>
  <c r="JL16" i="2"/>
  <c r="JM16" i="2"/>
  <c r="AR15" i="6" s="1"/>
  <c r="FQ14" i="17" s="1"/>
  <c r="FR14" i="17" s="1"/>
  <c r="JL17" i="2"/>
  <c r="JM17" i="2"/>
  <c r="JL18" i="2"/>
  <c r="JM18" i="2"/>
  <c r="AR17" i="6" s="1"/>
  <c r="FQ16" i="17" s="1"/>
  <c r="FR16" i="17" s="1"/>
  <c r="JL19" i="2"/>
  <c r="JM19" i="2"/>
  <c r="AR18" i="6" s="1"/>
  <c r="FQ17" i="17" s="1"/>
  <c r="FR17" i="17" s="1"/>
  <c r="JL20" i="2"/>
  <c r="JM20" i="2"/>
  <c r="AR19" i="6" s="1"/>
  <c r="FQ18" i="17" s="1"/>
  <c r="FR18" i="17" s="1"/>
  <c r="JL21" i="2"/>
  <c r="JM21" i="2"/>
  <c r="AR20" i="6" s="1"/>
  <c r="FQ19" i="17" s="1"/>
  <c r="FR19" i="17" s="1"/>
  <c r="JL22" i="2"/>
  <c r="JM22" i="2"/>
  <c r="JL23" i="2"/>
  <c r="JM23" i="2"/>
  <c r="JL24" i="2"/>
  <c r="JM24" i="2"/>
  <c r="AR23" i="6" s="1"/>
  <c r="FQ22" i="17" s="1"/>
  <c r="FR22" i="17" s="1"/>
  <c r="JL25" i="2"/>
  <c r="JM25" i="2"/>
  <c r="JL26" i="2"/>
  <c r="JM26" i="2"/>
  <c r="JL27" i="2"/>
  <c r="JM27" i="2"/>
  <c r="AR26" i="6" s="1"/>
  <c r="FQ25" i="17" s="1"/>
  <c r="FR25" i="17" s="1"/>
  <c r="JL28" i="2"/>
  <c r="JM28" i="2"/>
  <c r="AR27" i="6" s="1"/>
  <c r="FQ26" i="17" s="1"/>
  <c r="FR26" i="17" s="1"/>
  <c r="JL29" i="2"/>
  <c r="JM29" i="2"/>
  <c r="JM12" i="2"/>
  <c r="AR11" i="6" s="1"/>
  <c r="FQ10" i="17" s="1"/>
  <c r="FR10" i="17" s="1"/>
  <c r="JL12" i="2"/>
  <c r="JO61" i="2"/>
  <c r="JN61" i="2" s="1"/>
  <c r="JL61" i="2"/>
  <c r="JK61" i="2" s="1"/>
  <c r="JN60" i="2"/>
  <c r="JK60" i="2"/>
  <c r="JN59" i="2"/>
  <c r="JK59" i="2"/>
  <c r="JN58" i="2"/>
  <c r="JK58" i="2"/>
  <c r="JN56" i="2"/>
  <c r="JK56" i="2"/>
  <c r="JP34" i="2"/>
  <c r="JO34" i="2"/>
  <c r="JN33" i="2"/>
  <c r="JN32" i="2"/>
  <c r="JP30" i="2"/>
  <c r="JP37" i="2" s="1"/>
  <c r="JO30" i="2"/>
  <c r="JO37" i="2" s="1"/>
  <c r="JO42" i="2" s="1"/>
  <c r="JN29" i="2"/>
  <c r="JN28" i="2"/>
  <c r="JN27" i="2"/>
  <c r="JN26" i="2"/>
  <c r="JN25" i="2"/>
  <c r="JN24" i="2"/>
  <c r="JN23" i="2"/>
  <c r="JN22" i="2"/>
  <c r="JN21" i="2"/>
  <c r="JN20" i="2"/>
  <c r="JN19" i="2"/>
  <c r="JN18" i="2"/>
  <c r="JN17" i="2"/>
  <c r="JN16" i="2"/>
  <c r="JN15" i="2"/>
  <c r="JN14" i="2"/>
  <c r="JN13" i="2"/>
  <c r="JN12" i="2"/>
  <c r="I434" i="8"/>
  <c r="H434" i="8"/>
  <c r="D433" i="8"/>
  <c r="D429" i="8" s="1"/>
  <c r="FV28" i="17" l="1"/>
  <c r="F415" i="8"/>
  <c r="F417" i="8" s="1"/>
  <c r="JP42" i="2"/>
  <c r="FU32" i="17"/>
  <c r="FV30" i="17"/>
  <c r="FV32" i="17" s="1"/>
  <c r="FU28" i="17"/>
  <c r="H81" i="8"/>
  <c r="G82" i="8"/>
  <c r="I82" i="8" s="1"/>
  <c r="I280" i="8"/>
  <c r="JN34" i="2"/>
  <c r="AS33" i="6"/>
  <c r="H82" i="8"/>
  <c r="JO53" i="2"/>
  <c r="JN53" i="2" s="1"/>
  <c r="JO55" i="2"/>
  <c r="JN55" i="2" s="1"/>
  <c r="JK16" i="2"/>
  <c r="JK28" i="2"/>
  <c r="JK24" i="2"/>
  <c r="JK20" i="2"/>
  <c r="JK29" i="2"/>
  <c r="JK23" i="2"/>
  <c r="C14" i="7"/>
  <c r="F412" i="8"/>
  <c r="F414" i="8" s="1"/>
  <c r="JM34" i="2"/>
  <c r="AS29" i="6"/>
  <c r="JK25" i="2"/>
  <c r="AR31" i="6"/>
  <c r="JK21" i="2"/>
  <c r="JK27" i="2"/>
  <c r="JK26" i="2"/>
  <c r="JK22" i="2"/>
  <c r="AR28" i="6"/>
  <c r="FQ27" i="17" s="1"/>
  <c r="FR27" i="17" s="1"/>
  <c r="AR24" i="6"/>
  <c r="FQ23" i="17" s="1"/>
  <c r="FR23" i="17" s="1"/>
  <c r="AR22" i="6"/>
  <c r="FQ21" i="17" s="1"/>
  <c r="FR21" i="17" s="1"/>
  <c r="AR16" i="6"/>
  <c r="FQ15" i="17" s="1"/>
  <c r="FR15" i="17" s="1"/>
  <c r="AR14" i="6"/>
  <c r="FQ13" i="17" s="1"/>
  <c r="FR13" i="17" s="1"/>
  <c r="AR12" i="6"/>
  <c r="FQ11" i="17" s="1"/>
  <c r="FR11" i="17" s="1"/>
  <c r="AR25" i="6"/>
  <c r="FQ24" i="17" s="1"/>
  <c r="FR24" i="17" s="1"/>
  <c r="AR21" i="6"/>
  <c r="FQ20" i="17" s="1"/>
  <c r="FR20" i="17" s="1"/>
  <c r="JK13" i="2"/>
  <c r="JK17" i="2"/>
  <c r="JK14" i="2"/>
  <c r="JK18" i="2"/>
  <c r="JK32" i="2"/>
  <c r="JM30" i="2"/>
  <c r="JK15" i="2"/>
  <c r="JN30" i="2"/>
  <c r="JK19" i="2"/>
  <c r="JK33" i="2"/>
  <c r="JK12" i="2"/>
  <c r="JL30" i="2"/>
  <c r="JO54" i="2"/>
  <c r="JN54" i="2" s="1"/>
  <c r="JL34" i="2"/>
  <c r="FV35" i="17" l="1"/>
  <c r="FR28" i="17"/>
  <c r="E7" i="16"/>
  <c r="FU35" i="17"/>
  <c r="FQ28" i="17"/>
  <c r="AR33" i="6"/>
  <c r="FQ30" i="17"/>
  <c r="JN37" i="2"/>
  <c r="AS36" i="6"/>
  <c r="JM37" i="2"/>
  <c r="B14" i="7" s="1"/>
  <c r="JL55" i="2"/>
  <c r="JK55" i="2" s="1"/>
  <c r="JK34" i="2"/>
  <c r="AR29" i="6"/>
  <c r="JK30" i="2"/>
  <c r="JL54" i="2"/>
  <c r="JK54" i="2" s="1"/>
  <c r="JL37" i="2"/>
  <c r="JO57" i="2"/>
  <c r="JN57" i="2" s="1"/>
  <c r="FU36" i="17" l="1"/>
  <c r="AR36" i="6"/>
  <c r="FQ32" i="17"/>
  <c r="FQ35" i="17" s="1"/>
  <c r="FR30" i="17"/>
  <c r="FR32" i="17" s="1"/>
  <c r="FR35" i="17" s="1"/>
  <c r="E415" i="8"/>
  <c r="JK37" i="2"/>
  <c r="JL53" i="2"/>
  <c r="JL57" i="2" s="1"/>
  <c r="JK57" i="2" s="1"/>
  <c r="E412" i="8"/>
  <c r="E414" i="8" s="1"/>
  <c r="FQ36" i="17" l="1"/>
  <c r="H414" i="8"/>
  <c r="G415" i="8"/>
  <c r="G417" i="8" s="1"/>
  <c r="I417" i="8" s="1"/>
  <c r="E417" i="8"/>
  <c r="H417" i="8" s="1"/>
  <c r="H416" i="8"/>
  <c r="H415" i="8"/>
  <c r="JK53" i="2"/>
  <c r="I416" i="8"/>
  <c r="G412" i="8"/>
  <c r="G414" i="8" s="1"/>
  <c r="H412" i="8"/>
  <c r="F29" i="3"/>
  <c r="F28" i="3"/>
  <c r="F9" i="3"/>
  <c r="F10" i="3"/>
  <c r="F11" i="3"/>
  <c r="F12" i="3"/>
  <c r="F13" i="3"/>
  <c r="F14" i="3"/>
  <c r="F15" i="3"/>
  <c r="F16" i="3"/>
  <c r="F17" i="3"/>
  <c r="F18" i="3"/>
  <c r="F19" i="3"/>
  <c r="F20" i="3"/>
  <c r="F21" i="3"/>
  <c r="F22" i="3"/>
  <c r="F23" i="3"/>
  <c r="F24" i="3"/>
  <c r="F25" i="3"/>
  <c r="F8" i="3"/>
  <c r="G30" i="3"/>
  <c r="G26" i="3"/>
  <c r="D7" i="16" l="1"/>
  <c r="I414" i="8"/>
  <c r="F7" i="16"/>
  <c r="I415" i="8"/>
  <c r="G33" i="3"/>
  <c r="G38" i="3" s="1"/>
  <c r="F432" i="8" s="1"/>
  <c r="F428" i="8" s="1"/>
  <c r="F30" i="3"/>
  <c r="F26" i="3"/>
  <c r="I412" i="8"/>
  <c r="H413" i="8"/>
  <c r="G40" i="3" l="1"/>
  <c r="F33" i="3"/>
  <c r="F38" i="3" s="1"/>
  <c r="E432" i="8" s="1"/>
  <c r="F433" i="8"/>
  <c r="F429" i="8" s="1"/>
  <c r="I413" i="8"/>
  <c r="G432" i="8" l="1"/>
  <c r="G428" i="8" s="1"/>
  <c r="E428" i="8"/>
  <c r="H432" i="8"/>
  <c r="E433" i="8"/>
  <c r="E429" i="8" s="1"/>
  <c r="CH9" i="4"/>
  <c r="CI9" i="4" s="1"/>
  <c r="CH10" i="4"/>
  <c r="CI10" i="4" s="1"/>
  <c r="CH11" i="4"/>
  <c r="CH12" i="4"/>
  <c r="CH13" i="4"/>
  <c r="CH14" i="4"/>
  <c r="CH15" i="4"/>
  <c r="CH16" i="4"/>
  <c r="CI16" i="4" s="1"/>
  <c r="CH17" i="4"/>
  <c r="CH18" i="4"/>
  <c r="CH19" i="4"/>
  <c r="CI19" i="4" s="1"/>
  <c r="CH20" i="4"/>
  <c r="CI20" i="4" s="1"/>
  <c r="CH21" i="4"/>
  <c r="CH22" i="4"/>
  <c r="CH23" i="4"/>
  <c r="CH24" i="4"/>
  <c r="CH25" i="4"/>
  <c r="CH8" i="4"/>
  <c r="BD29" i="3"/>
  <c r="BD28" i="3"/>
  <c r="BD9" i="3"/>
  <c r="BD10" i="3"/>
  <c r="BD11" i="3"/>
  <c r="BD12" i="3"/>
  <c r="BD13" i="3"/>
  <c r="BD14" i="3"/>
  <c r="BD15" i="3"/>
  <c r="BD16" i="3"/>
  <c r="BD17" i="3"/>
  <c r="BD18" i="3"/>
  <c r="BD19" i="3"/>
  <c r="BD20" i="3"/>
  <c r="BD21" i="3"/>
  <c r="BD22" i="3"/>
  <c r="BD23" i="3"/>
  <c r="BD24" i="3"/>
  <c r="BD25" i="3"/>
  <c r="BD8" i="3"/>
  <c r="BE29" i="3" l="1"/>
  <c r="G433" i="8"/>
  <c r="G429" i="8" s="1"/>
  <c r="I432" i="8"/>
  <c r="H433" i="8"/>
  <c r="I433" i="8" l="1"/>
  <c r="D183" i="8"/>
  <c r="D453" i="8" s="1"/>
  <c r="LV33" i="2" l="1"/>
  <c r="LV32" i="2"/>
  <c r="LV16" i="2"/>
  <c r="LV17" i="2"/>
  <c r="LV18" i="2"/>
  <c r="LV19" i="2"/>
  <c r="LV20" i="2"/>
  <c r="LV21" i="2"/>
  <c r="LV22" i="2"/>
  <c r="LV23" i="2"/>
  <c r="LV24" i="2"/>
  <c r="LV25" i="2"/>
  <c r="LV26" i="2"/>
  <c r="LV27" i="2"/>
  <c r="LV28" i="2"/>
  <c r="LV29" i="2"/>
  <c r="LV12" i="2"/>
  <c r="LV13" i="2"/>
  <c r="LV14" i="2"/>
  <c r="LV15" i="2"/>
  <c r="AK60" i="2"/>
  <c r="AK59" i="2"/>
  <c r="AK58" i="2"/>
  <c r="AK56" i="2"/>
  <c r="AP60" i="2"/>
  <c r="AP59" i="2"/>
  <c r="AP58" i="2"/>
  <c r="AP56" i="2"/>
  <c r="AU58" i="2"/>
  <c r="AU55" i="2"/>
  <c r="AU54" i="2"/>
  <c r="AY58" i="2"/>
  <c r="AY55" i="2"/>
  <c r="AY54" i="2"/>
  <c r="BO29" i="2"/>
  <c r="BO28" i="2"/>
  <c r="BO27" i="2"/>
  <c r="BO26" i="2"/>
  <c r="BO25" i="2"/>
  <c r="BO24" i="2"/>
  <c r="BO23" i="2"/>
  <c r="BO22" i="2"/>
  <c r="BO21" i="2"/>
  <c r="BO20" i="2"/>
  <c r="BO19" i="2"/>
  <c r="BO18" i="2"/>
  <c r="BO17" i="2"/>
  <c r="BO16" i="2"/>
  <c r="BO15" i="2"/>
  <c r="BO14" i="2"/>
  <c r="BO13" i="2"/>
  <c r="BO12" i="2"/>
  <c r="AY29" i="2"/>
  <c r="AY28" i="2"/>
  <c r="AY27" i="2"/>
  <c r="AY26" i="2"/>
  <c r="AY25" i="2"/>
  <c r="AY24" i="2"/>
  <c r="AY23" i="2"/>
  <c r="AY22" i="2"/>
  <c r="AY21" i="2"/>
  <c r="AY20" i="2"/>
  <c r="AY19" i="2"/>
  <c r="AY18" i="2"/>
  <c r="AY17" i="2"/>
  <c r="AY16" i="2"/>
  <c r="AY15" i="2"/>
  <c r="AY14" i="2"/>
  <c r="AY13" i="2"/>
  <c r="AY12" i="2"/>
  <c r="BO34" i="2"/>
  <c r="BK34" i="2"/>
  <c r="BG34" i="2"/>
  <c r="BC34" i="2"/>
  <c r="AY34" i="2"/>
  <c r="AU34" i="2"/>
  <c r="AP33" i="2"/>
  <c r="AP32" i="2"/>
  <c r="AP29" i="2"/>
  <c r="AP28" i="2"/>
  <c r="AP27" i="2"/>
  <c r="AP26" i="2"/>
  <c r="AP25" i="2"/>
  <c r="AP24" i="2"/>
  <c r="AP23" i="2"/>
  <c r="AP22" i="2"/>
  <c r="AP21" i="2"/>
  <c r="AP20" i="2"/>
  <c r="AP19" i="2"/>
  <c r="AP18" i="2"/>
  <c r="AP17" i="2"/>
  <c r="AP16" i="2"/>
  <c r="AP15" i="2"/>
  <c r="AP14" i="2"/>
  <c r="AP13" i="2"/>
  <c r="AP12" i="2"/>
  <c r="AP34" i="2" l="1"/>
  <c r="BO30" i="2"/>
  <c r="BO37" i="2" s="1"/>
  <c r="AY30" i="2"/>
  <c r="AY37" i="2" s="1"/>
  <c r="AP30" i="2"/>
  <c r="AP37" i="2" l="1"/>
  <c r="AR43" i="1"/>
  <c r="G71" i="1" l="1"/>
  <c r="M70" i="1"/>
  <c r="M69" i="1"/>
  <c r="E58" i="2"/>
  <c r="D58" i="2"/>
  <c r="CE33" i="2" l="1"/>
  <c r="CE32" i="2"/>
  <c r="CE29" i="2"/>
  <c r="CE28" i="2"/>
  <c r="CE27" i="2"/>
  <c r="CE26" i="2"/>
  <c r="CE25" i="2"/>
  <c r="CE24" i="2"/>
  <c r="CE23" i="2"/>
  <c r="CE22" i="2"/>
  <c r="CE21" i="2"/>
  <c r="CE20" i="2"/>
  <c r="CE19" i="2"/>
  <c r="CE18" i="2"/>
  <c r="CE17" i="2"/>
  <c r="CE16" i="2"/>
  <c r="CE15" i="2"/>
  <c r="CE14" i="2"/>
  <c r="CE13" i="2"/>
  <c r="CE12" i="2"/>
  <c r="CA33" i="2"/>
  <c r="CA32" i="2"/>
  <c r="BW33" i="2"/>
  <c r="BW32" i="2"/>
  <c r="BW29" i="2"/>
  <c r="BW28" i="2"/>
  <c r="BW27" i="2"/>
  <c r="BW26" i="2"/>
  <c r="BW25" i="2"/>
  <c r="BW24" i="2"/>
  <c r="BW23" i="2"/>
  <c r="BW22" i="2"/>
  <c r="BW21" i="2"/>
  <c r="BW20" i="2"/>
  <c r="BW19" i="2"/>
  <c r="BW18" i="2"/>
  <c r="BW17" i="2"/>
  <c r="BW16" i="2"/>
  <c r="BW15" i="2"/>
  <c r="BW14" i="2"/>
  <c r="BW13" i="2"/>
  <c r="BW12" i="2"/>
  <c r="BW34" i="2" l="1"/>
  <c r="BW30" i="2"/>
  <c r="CA34" i="2"/>
  <c r="CE34" i="2"/>
  <c r="CE30" i="2"/>
  <c r="AV13" i="2"/>
  <c r="AW13" i="2"/>
  <c r="AX13" i="2"/>
  <c r="AV14" i="2"/>
  <c r="AW14" i="2"/>
  <c r="AX14" i="2"/>
  <c r="AV15" i="2"/>
  <c r="AW15" i="2"/>
  <c r="AX15" i="2"/>
  <c r="AV16" i="2"/>
  <c r="AW16" i="2"/>
  <c r="AX16" i="2"/>
  <c r="AV17" i="2"/>
  <c r="AW17" i="2"/>
  <c r="AX17" i="2"/>
  <c r="AV18" i="2"/>
  <c r="AW18" i="2"/>
  <c r="AX18" i="2"/>
  <c r="AV19" i="2"/>
  <c r="AW19" i="2"/>
  <c r="AX19" i="2"/>
  <c r="AV20" i="2"/>
  <c r="AW20" i="2"/>
  <c r="AX20" i="2"/>
  <c r="AV21" i="2"/>
  <c r="AW21" i="2"/>
  <c r="AX21" i="2"/>
  <c r="AV22" i="2"/>
  <c r="AW22" i="2"/>
  <c r="AX22" i="2"/>
  <c r="AV23" i="2"/>
  <c r="AW23" i="2"/>
  <c r="AX23" i="2"/>
  <c r="AW24" i="2"/>
  <c r="AX24" i="2"/>
  <c r="AV25" i="2"/>
  <c r="AW25" i="2"/>
  <c r="AX25" i="2"/>
  <c r="AV26" i="2"/>
  <c r="AW26" i="2"/>
  <c r="AX26" i="2"/>
  <c r="AV27" i="2"/>
  <c r="AW27" i="2"/>
  <c r="AX27" i="2"/>
  <c r="AV28" i="2"/>
  <c r="AW28" i="2"/>
  <c r="AX28" i="2"/>
  <c r="AV29" i="2"/>
  <c r="AW29" i="2"/>
  <c r="AX29" i="2"/>
  <c r="AV12" i="2"/>
  <c r="AW12" i="2"/>
  <c r="AX12" i="2"/>
  <c r="BN29" i="2"/>
  <c r="BM29" i="2"/>
  <c r="BL29" i="2"/>
  <c r="BN28" i="2"/>
  <c r="BM28" i="2"/>
  <c r="BL28" i="2"/>
  <c r="BN27" i="2"/>
  <c r="BM27" i="2"/>
  <c r="BL27" i="2"/>
  <c r="BN26" i="2"/>
  <c r="BM26" i="2"/>
  <c r="BL26" i="2"/>
  <c r="BN25" i="2"/>
  <c r="BM25" i="2"/>
  <c r="BL25" i="2"/>
  <c r="BN24" i="2"/>
  <c r="BM24" i="2"/>
  <c r="BL24" i="2"/>
  <c r="BN23" i="2"/>
  <c r="BM23" i="2"/>
  <c r="BL23" i="2"/>
  <c r="BN22" i="2"/>
  <c r="BM22" i="2"/>
  <c r="BL22" i="2"/>
  <c r="BN21" i="2"/>
  <c r="BM21" i="2"/>
  <c r="BL21" i="2"/>
  <c r="BN20" i="2"/>
  <c r="BM20" i="2"/>
  <c r="BL20" i="2"/>
  <c r="BN19" i="2"/>
  <c r="BM19" i="2"/>
  <c r="BL19" i="2"/>
  <c r="BN18" i="2"/>
  <c r="BM18" i="2"/>
  <c r="BL18" i="2"/>
  <c r="BN17" i="2"/>
  <c r="BM17" i="2"/>
  <c r="BL17" i="2"/>
  <c r="BN16" i="2"/>
  <c r="BM16" i="2"/>
  <c r="BL16" i="2"/>
  <c r="BN15" i="2"/>
  <c r="BM15" i="2"/>
  <c r="BL15" i="2"/>
  <c r="BN14" i="2"/>
  <c r="BM14" i="2"/>
  <c r="BL14" i="2"/>
  <c r="BN13" i="2"/>
  <c r="BM13" i="2"/>
  <c r="BL13" i="2"/>
  <c r="BN12" i="2"/>
  <c r="BM12" i="2"/>
  <c r="BL12" i="2"/>
  <c r="AO33" i="2"/>
  <c r="PW33" i="2"/>
  <c r="PV33" i="2"/>
  <c r="AN33" i="2"/>
  <c r="AM33" i="2"/>
  <c r="AL33" i="2"/>
  <c r="AO32" i="2"/>
  <c r="PW32" i="2"/>
  <c r="PV32" i="2"/>
  <c r="AN32" i="2"/>
  <c r="AM32" i="2"/>
  <c r="AL32" i="2"/>
  <c r="AL13" i="2"/>
  <c r="AM13" i="2"/>
  <c r="AN13" i="2"/>
  <c r="PV13" i="2"/>
  <c r="PW13" i="2"/>
  <c r="JB11" i="17" s="1"/>
  <c r="AO13" i="2"/>
  <c r="AL14" i="2"/>
  <c r="AM14" i="2"/>
  <c r="AN14" i="2"/>
  <c r="PV14" i="2"/>
  <c r="PW14" i="2"/>
  <c r="JB12" i="17" s="1"/>
  <c r="AO14" i="2"/>
  <c r="AL15" i="2"/>
  <c r="AM15" i="2"/>
  <c r="AN15" i="2"/>
  <c r="PV15" i="2"/>
  <c r="PW15" i="2"/>
  <c r="JB13" i="17" s="1"/>
  <c r="AO15" i="2"/>
  <c r="AL16" i="2"/>
  <c r="AM16" i="2"/>
  <c r="AN16" i="2"/>
  <c r="PV16" i="2"/>
  <c r="PW16" i="2"/>
  <c r="JB14" i="17" s="1"/>
  <c r="AO16" i="2"/>
  <c r="AL17" i="2"/>
  <c r="AM17" i="2"/>
  <c r="AN17" i="2"/>
  <c r="PV17" i="2"/>
  <c r="PW17" i="2"/>
  <c r="JB15" i="17" s="1"/>
  <c r="AO17" i="2"/>
  <c r="AL18" i="2"/>
  <c r="AM18" i="2"/>
  <c r="AN18" i="2"/>
  <c r="PV18" i="2"/>
  <c r="PW18" i="2"/>
  <c r="JB16" i="17" s="1"/>
  <c r="AO18" i="2"/>
  <c r="AL19" i="2"/>
  <c r="AM19" i="2"/>
  <c r="AN19" i="2"/>
  <c r="PV19" i="2"/>
  <c r="PW19" i="2"/>
  <c r="JB17" i="17" s="1"/>
  <c r="AO19" i="2"/>
  <c r="AL20" i="2"/>
  <c r="AM20" i="2"/>
  <c r="AN20" i="2"/>
  <c r="PV20" i="2"/>
  <c r="PW20" i="2"/>
  <c r="JB18" i="17" s="1"/>
  <c r="AO20" i="2"/>
  <c r="AL21" i="2"/>
  <c r="AM21" i="2"/>
  <c r="AN21" i="2"/>
  <c r="PV21" i="2"/>
  <c r="PW21" i="2"/>
  <c r="JB19" i="17" s="1"/>
  <c r="AO21" i="2"/>
  <c r="AL22" i="2"/>
  <c r="AM22" i="2"/>
  <c r="AN22" i="2"/>
  <c r="PV22" i="2"/>
  <c r="PW22" i="2"/>
  <c r="JB20" i="17" s="1"/>
  <c r="AO22" i="2"/>
  <c r="AL23" i="2"/>
  <c r="AM23" i="2"/>
  <c r="AN23" i="2"/>
  <c r="PV23" i="2"/>
  <c r="PW23" i="2"/>
  <c r="JB21" i="17" s="1"/>
  <c r="AO23" i="2"/>
  <c r="AL24" i="2"/>
  <c r="AM24" i="2"/>
  <c r="AN24" i="2"/>
  <c r="PV24" i="2"/>
  <c r="PW24" i="2"/>
  <c r="JB22" i="17" s="1"/>
  <c r="AO24" i="2"/>
  <c r="AL25" i="2"/>
  <c r="AM25" i="2"/>
  <c r="AN25" i="2"/>
  <c r="PV25" i="2"/>
  <c r="PW25" i="2"/>
  <c r="JB23" i="17" s="1"/>
  <c r="AO25" i="2"/>
  <c r="AL26" i="2"/>
  <c r="AM26" i="2"/>
  <c r="AN26" i="2"/>
  <c r="PV26" i="2"/>
  <c r="PW26" i="2"/>
  <c r="JB24" i="17" s="1"/>
  <c r="AO26" i="2"/>
  <c r="AL27" i="2"/>
  <c r="AM27" i="2"/>
  <c r="AN27" i="2"/>
  <c r="PV27" i="2"/>
  <c r="PW27" i="2"/>
  <c r="JB25" i="17" s="1"/>
  <c r="AO27" i="2"/>
  <c r="AL28" i="2"/>
  <c r="AM28" i="2"/>
  <c r="AN28" i="2"/>
  <c r="PV28" i="2"/>
  <c r="PW28" i="2"/>
  <c r="JB26" i="17" s="1"/>
  <c r="AO28" i="2"/>
  <c r="AL29" i="2"/>
  <c r="AM29" i="2"/>
  <c r="AN29" i="2"/>
  <c r="PV29" i="2"/>
  <c r="PW29" i="2"/>
  <c r="JB27" i="17" s="1"/>
  <c r="AO29" i="2"/>
  <c r="AL12" i="2"/>
  <c r="AM12" i="2"/>
  <c r="AN12" i="2"/>
  <c r="PV12" i="2"/>
  <c r="PW12" i="2"/>
  <c r="JB10" i="17" s="1"/>
  <c r="AO12" i="2"/>
  <c r="JB28" i="17" l="1"/>
  <c r="PU27" i="2"/>
  <c r="PU25" i="2"/>
  <c r="PU23" i="2"/>
  <c r="PU21" i="2"/>
  <c r="PU19" i="2"/>
  <c r="PU17" i="2"/>
  <c r="PU15" i="2"/>
  <c r="PU13" i="2"/>
  <c r="PU12" i="2"/>
  <c r="PU28" i="2"/>
  <c r="PU26" i="2"/>
  <c r="PU24" i="2"/>
  <c r="PU22" i="2"/>
  <c r="PU20" i="2"/>
  <c r="PU18" i="2"/>
  <c r="PU16" i="2"/>
  <c r="PU14" i="2"/>
  <c r="PU33" i="2"/>
  <c r="PU29" i="2"/>
  <c r="PU32" i="2"/>
  <c r="E289" i="8"/>
  <c r="H287" i="8"/>
  <c r="G287" i="8"/>
  <c r="I287" i="8" s="1"/>
  <c r="BK12" i="2"/>
  <c r="BK14" i="2"/>
  <c r="BK16" i="2"/>
  <c r="BK18" i="2"/>
  <c r="BK20" i="2"/>
  <c r="BK22" i="2"/>
  <c r="BK24" i="2"/>
  <c r="BK26" i="2"/>
  <c r="BK28" i="2"/>
  <c r="BK13" i="2"/>
  <c r="BK15" i="2"/>
  <c r="BK17" i="2"/>
  <c r="BK19" i="2"/>
  <c r="BK21" i="2"/>
  <c r="BK23" i="2"/>
  <c r="BK25" i="2"/>
  <c r="BK27" i="2"/>
  <c r="BK29" i="2"/>
  <c r="AK33" i="2"/>
  <c r="AK32" i="2"/>
  <c r="AU29" i="2"/>
  <c r="AU27" i="2"/>
  <c r="AU25" i="2"/>
  <c r="AU23" i="2"/>
  <c r="AU21" i="2"/>
  <c r="AU19" i="2"/>
  <c r="AU17" i="2"/>
  <c r="AU15" i="2"/>
  <c r="AU13" i="2"/>
  <c r="AU12" i="2"/>
  <c r="AU28" i="2"/>
  <c r="AU26" i="2"/>
  <c r="AU22" i="2"/>
  <c r="AU20" i="2"/>
  <c r="AU18" i="2"/>
  <c r="AU16" i="2"/>
  <c r="AU14" i="2"/>
  <c r="AK12" i="2"/>
  <c r="AK26" i="2"/>
  <c r="AK22" i="2"/>
  <c r="AK18" i="2"/>
  <c r="AK14" i="2"/>
  <c r="AK27" i="2"/>
  <c r="AK23" i="2"/>
  <c r="AK19" i="2"/>
  <c r="AK15" i="2"/>
  <c r="AK28" i="2"/>
  <c r="AK24" i="2"/>
  <c r="AK20" i="2"/>
  <c r="AK16" i="2"/>
  <c r="AK29" i="2"/>
  <c r="AK25" i="2"/>
  <c r="AK21" i="2"/>
  <c r="AK17" i="2"/>
  <c r="AK13" i="2"/>
  <c r="BW37" i="2"/>
  <c r="CE37" i="2"/>
  <c r="BU33" i="2"/>
  <c r="BT33" i="2"/>
  <c r="BU32" i="2"/>
  <c r="BT32" i="2"/>
  <c r="BT13" i="2"/>
  <c r="BU13" i="2"/>
  <c r="BT14" i="2"/>
  <c r="BU14" i="2"/>
  <c r="BT15" i="2"/>
  <c r="BU15" i="2"/>
  <c r="BT16" i="2"/>
  <c r="BU16" i="2"/>
  <c r="BT17" i="2"/>
  <c r="BU17" i="2"/>
  <c r="BT18" i="2"/>
  <c r="BU18" i="2"/>
  <c r="BT19" i="2"/>
  <c r="BU19" i="2"/>
  <c r="BT20" i="2"/>
  <c r="BU20" i="2"/>
  <c r="BT21" i="2"/>
  <c r="BU21" i="2"/>
  <c r="BT22" i="2"/>
  <c r="BU22" i="2"/>
  <c r="BU23" i="2"/>
  <c r="BT24" i="2"/>
  <c r="BU24" i="2"/>
  <c r="BT25" i="2"/>
  <c r="BU25" i="2"/>
  <c r="BT26" i="2"/>
  <c r="BU26" i="2"/>
  <c r="BT27" i="2"/>
  <c r="BU27" i="2"/>
  <c r="BT28" i="2"/>
  <c r="BU28" i="2"/>
  <c r="BT29" i="2"/>
  <c r="BU29" i="2"/>
  <c r="CB13" i="2"/>
  <c r="CC13" i="2"/>
  <c r="CB14" i="2"/>
  <c r="CB15" i="2"/>
  <c r="CC15" i="2"/>
  <c r="CB16" i="2"/>
  <c r="CC16" i="2"/>
  <c r="CB17" i="2"/>
  <c r="CC17" i="2"/>
  <c r="CB18" i="2"/>
  <c r="CC18" i="2"/>
  <c r="CB19" i="2"/>
  <c r="CC19" i="2"/>
  <c r="CB20" i="2"/>
  <c r="CC20" i="2"/>
  <c r="CB21" i="2"/>
  <c r="CC21" i="2"/>
  <c r="CB22" i="2"/>
  <c r="CB23" i="2"/>
  <c r="CC23" i="2"/>
  <c r="CB24" i="2"/>
  <c r="CC24" i="2"/>
  <c r="CB25" i="2"/>
  <c r="CC25" i="2"/>
  <c r="CB26" i="2"/>
  <c r="CC26" i="2"/>
  <c r="CB27" i="2"/>
  <c r="CB28" i="2"/>
  <c r="CC28" i="2"/>
  <c r="CB29" i="2"/>
  <c r="CC29" i="2"/>
  <c r="BU12" i="2"/>
  <c r="BT12" i="2"/>
  <c r="CC12" i="2"/>
  <c r="CB12" i="2"/>
  <c r="CQ33" i="2"/>
  <c r="CQ32" i="2"/>
  <c r="CQ13" i="2"/>
  <c r="AD11" i="17" s="1"/>
  <c r="CQ14" i="2"/>
  <c r="AD12" i="17" s="1"/>
  <c r="CQ15" i="2"/>
  <c r="AD13" i="17" s="1"/>
  <c r="CQ16" i="2"/>
  <c r="AD14" i="17" s="1"/>
  <c r="CQ17" i="2"/>
  <c r="AD15" i="17" s="1"/>
  <c r="CQ18" i="2"/>
  <c r="AD16" i="17" s="1"/>
  <c r="CQ19" i="2"/>
  <c r="AD17" i="17" s="1"/>
  <c r="CQ20" i="2"/>
  <c r="AD18" i="17" s="1"/>
  <c r="CQ21" i="2"/>
  <c r="AD19" i="17" s="1"/>
  <c r="CQ22" i="2"/>
  <c r="AD20" i="17" s="1"/>
  <c r="CQ23" i="2"/>
  <c r="AD21" i="17" s="1"/>
  <c r="CQ24" i="2"/>
  <c r="AD22" i="17" s="1"/>
  <c r="CQ25" i="2"/>
  <c r="AD23" i="17" s="1"/>
  <c r="CQ26" i="2"/>
  <c r="AD24" i="17" s="1"/>
  <c r="CQ27" i="2"/>
  <c r="AD25" i="17" s="1"/>
  <c r="CQ28" i="2"/>
  <c r="AD26" i="17" s="1"/>
  <c r="CQ29" i="2"/>
  <c r="AD27" i="17" s="1"/>
  <c r="CQ12" i="2"/>
  <c r="AD10" i="17" s="1"/>
  <c r="CS13" i="2"/>
  <c r="CS14" i="2"/>
  <c r="CS15" i="2"/>
  <c r="CS16" i="2"/>
  <c r="CS17" i="2"/>
  <c r="CS18" i="2"/>
  <c r="CS19" i="2"/>
  <c r="CS20" i="2"/>
  <c r="CS21" i="2"/>
  <c r="CS22" i="2"/>
  <c r="CS23" i="2"/>
  <c r="CS24" i="2"/>
  <c r="CS25" i="2"/>
  <c r="CS26" i="2"/>
  <c r="CS27" i="2"/>
  <c r="CS28" i="2"/>
  <c r="CS29" i="2"/>
  <c r="CS12" i="2"/>
  <c r="CY13" i="2"/>
  <c r="CY14" i="2"/>
  <c r="CY15" i="2"/>
  <c r="DA15" i="2"/>
  <c r="CY16" i="2"/>
  <c r="DA16" i="2"/>
  <c r="CY17" i="2"/>
  <c r="DA17" i="2"/>
  <c r="DA18" i="2"/>
  <c r="CY19" i="2"/>
  <c r="DA19" i="2"/>
  <c r="CY20" i="2"/>
  <c r="DA20" i="2"/>
  <c r="CY21" i="2"/>
  <c r="DA21" i="2"/>
  <c r="CY22" i="2"/>
  <c r="CY23" i="2"/>
  <c r="DA23" i="2"/>
  <c r="CY24" i="2"/>
  <c r="DA24" i="2"/>
  <c r="CY25" i="2"/>
  <c r="DA25" i="2"/>
  <c r="CY26" i="2"/>
  <c r="DA26" i="2"/>
  <c r="CY27" i="2"/>
  <c r="CY28" i="2"/>
  <c r="DA28" i="2"/>
  <c r="CY29" i="2"/>
  <c r="DA29" i="2"/>
  <c r="CY12" i="2"/>
  <c r="DA12" i="2"/>
  <c r="DT33" i="2"/>
  <c r="DS33" i="2"/>
  <c r="DR33" i="2"/>
  <c r="DQ33" i="2"/>
  <c r="DN33" i="2"/>
  <c r="DT32" i="2"/>
  <c r="DS32" i="2"/>
  <c r="DR32" i="2"/>
  <c r="DQ32" i="2"/>
  <c r="DN32" i="2"/>
  <c r="DN13" i="2"/>
  <c r="DQ13" i="2"/>
  <c r="DR13" i="2"/>
  <c r="DS13" i="2"/>
  <c r="DT13" i="2"/>
  <c r="DN14" i="2"/>
  <c r="DQ14" i="2"/>
  <c r="DR14" i="2"/>
  <c r="DS14" i="2"/>
  <c r="DT14" i="2"/>
  <c r="DN15" i="2"/>
  <c r="DQ15" i="2"/>
  <c r="DR15" i="2"/>
  <c r="DS15" i="2"/>
  <c r="DT15" i="2"/>
  <c r="DN16" i="2"/>
  <c r="DQ16" i="2"/>
  <c r="DR16" i="2"/>
  <c r="DS16" i="2"/>
  <c r="DT16" i="2"/>
  <c r="DN17" i="2"/>
  <c r="DQ17" i="2"/>
  <c r="DR17" i="2"/>
  <c r="DS17" i="2"/>
  <c r="DT17" i="2"/>
  <c r="DN18" i="2"/>
  <c r="DQ18" i="2"/>
  <c r="DR18" i="2"/>
  <c r="DS18" i="2"/>
  <c r="DT18" i="2"/>
  <c r="DN19" i="2"/>
  <c r="DQ19" i="2"/>
  <c r="DR19" i="2"/>
  <c r="DS19" i="2"/>
  <c r="DT19" i="2"/>
  <c r="DN20" i="2"/>
  <c r="DQ20" i="2"/>
  <c r="DR20" i="2"/>
  <c r="DS20" i="2"/>
  <c r="DT20" i="2"/>
  <c r="DN21" i="2"/>
  <c r="DQ21" i="2"/>
  <c r="DR21" i="2"/>
  <c r="DS21" i="2"/>
  <c r="DT21" i="2"/>
  <c r="DN22" i="2"/>
  <c r="DQ22" i="2"/>
  <c r="DR22" i="2"/>
  <c r="DS22" i="2"/>
  <c r="DT22" i="2"/>
  <c r="DN23" i="2"/>
  <c r="DQ23" i="2"/>
  <c r="DR23" i="2"/>
  <c r="DS23" i="2"/>
  <c r="DT23" i="2"/>
  <c r="DN24" i="2"/>
  <c r="DQ24" i="2"/>
  <c r="DR24" i="2"/>
  <c r="DS24" i="2"/>
  <c r="DT24" i="2"/>
  <c r="DN25" i="2"/>
  <c r="DQ25" i="2"/>
  <c r="DR25" i="2"/>
  <c r="DS25" i="2"/>
  <c r="DT25" i="2"/>
  <c r="DN26" i="2"/>
  <c r="DQ26" i="2"/>
  <c r="DR26" i="2"/>
  <c r="DS26" i="2"/>
  <c r="DT26" i="2"/>
  <c r="DN27" i="2"/>
  <c r="DQ27" i="2"/>
  <c r="DR27" i="2"/>
  <c r="DS27" i="2"/>
  <c r="DT27" i="2"/>
  <c r="DN28" i="2"/>
  <c r="DQ28" i="2"/>
  <c r="DR28" i="2"/>
  <c r="DS28" i="2"/>
  <c r="DT28" i="2"/>
  <c r="DN29" i="2"/>
  <c r="DQ29" i="2"/>
  <c r="DR29" i="2"/>
  <c r="DS29" i="2"/>
  <c r="DT29" i="2"/>
  <c r="DT12" i="2"/>
  <c r="DS12" i="2"/>
  <c r="DR12" i="2"/>
  <c r="DQ12" i="2"/>
  <c r="DN12" i="2"/>
  <c r="EE33" i="2"/>
  <c r="ED33" i="2"/>
  <c r="EE32" i="2"/>
  <c r="ED32" i="2"/>
  <c r="ED13" i="2"/>
  <c r="EE13" i="2"/>
  <c r="ED14" i="2"/>
  <c r="EE14" i="2"/>
  <c r="ED15" i="2"/>
  <c r="EE15" i="2"/>
  <c r="ED16" i="2"/>
  <c r="EE16" i="2"/>
  <c r="ED17" i="2"/>
  <c r="EE17" i="2"/>
  <c r="ED18" i="2"/>
  <c r="EE18" i="2"/>
  <c r="ED19" i="2"/>
  <c r="EE19" i="2"/>
  <c r="ED20" i="2"/>
  <c r="EE20" i="2"/>
  <c r="ED21" i="2"/>
  <c r="EE21" i="2"/>
  <c r="ED22" i="2"/>
  <c r="EE22" i="2"/>
  <c r="ED23" i="2"/>
  <c r="EE23" i="2"/>
  <c r="ED24" i="2"/>
  <c r="EE24" i="2"/>
  <c r="ED25" i="2"/>
  <c r="EE25" i="2"/>
  <c r="ED26" i="2"/>
  <c r="EE26" i="2"/>
  <c r="ED27" i="2"/>
  <c r="EE27" i="2"/>
  <c r="ED28" i="2"/>
  <c r="EE28" i="2"/>
  <c r="ED29" i="2"/>
  <c r="EE29" i="2"/>
  <c r="EE12" i="2"/>
  <c r="ED12" i="2"/>
  <c r="EU33" i="2"/>
  <c r="ET33" i="2"/>
  <c r="EU32" i="2"/>
  <c r="ET32" i="2"/>
  <c r="ET13" i="2"/>
  <c r="EU13" i="2"/>
  <c r="ET14" i="2"/>
  <c r="EU14" i="2"/>
  <c r="ET15" i="2"/>
  <c r="EU15" i="2"/>
  <c r="ET16" i="2"/>
  <c r="EU16" i="2"/>
  <c r="ET17" i="2"/>
  <c r="EU17" i="2"/>
  <c r="ET18" i="2"/>
  <c r="EU18" i="2"/>
  <c r="ET19" i="2"/>
  <c r="EU19" i="2"/>
  <c r="ET20" i="2"/>
  <c r="EU20" i="2"/>
  <c r="ET21" i="2"/>
  <c r="EU21" i="2"/>
  <c r="ET22" i="2"/>
  <c r="EU22" i="2"/>
  <c r="ET23" i="2"/>
  <c r="EU23" i="2"/>
  <c r="ET24" i="2"/>
  <c r="EU24" i="2"/>
  <c r="ET25" i="2"/>
  <c r="EU25" i="2"/>
  <c r="ET26" i="2"/>
  <c r="EU26" i="2"/>
  <c r="ET27" i="2"/>
  <c r="EU27" i="2"/>
  <c r="ET28" i="2"/>
  <c r="EU28" i="2"/>
  <c r="ET29" i="2"/>
  <c r="EU29" i="2"/>
  <c r="EU12" i="2"/>
  <c r="ET12" i="2"/>
  <c r="EM33" i="2"/>
  <c r="EL33" i="2"/>
  <c r="EK33" i="2"/>
  <c r="EJ33" i="2"/>
  <c r="EM32" i="2"/>
  <c r="EL32" i="2"/>
  <c r="EK32" i="2"/>
  <c r="EJ32" i="2"/>
  <c r="EJ13" i="2"/>
  <c r="EK13" i="2"/>
  <c r="EL13" i="2"/>
  <c r="EM13" i="2"/>
  <c r="EJ14" i="2"/>
  <c r="EK14" i="2"/>
  <c r="EL14" i="2"/>
  <c r="EM14" i="2"/>
  <c r="EJ15" i="2"/>
  <c r="EK15" i="2"/>
  <c r="EL15" i="2"/>
  <c r="EM15" i="2"/>
  <c r="EJ16" i="2"/>
  <c r="EK16" i="2"/>
  <c r="EL16" i="2"/>
  <c r="EM16" i="2"/>
  <c r="EJ17" i="2"/>
  <c r="EK17" i="2"/>
  <c r="EL17" i="2"/>
  <c r="EM17" i="2"/>
  <c r="EJ18" i="2"/>
  <c r="EK18" i="2"/>
  <c r="EL18" i="2"/>
  <c r="EM18" i="2"/>
  <c r="EJ19" i="2"/>
  <c r="EK19" i="2"/>
  <c r="EL19" i="2"/>
  <c r="EM19" i="2"/>
  <c r="EJ20" i="2"/>
  <c r="EK20" i="2"/>
  <c r="EL20" i="2"/>
  <c r="EM20" i="2"/>
  <c r="EJ21" i="2"/>
  <c r="EK21" i="2"/>
  <c r="EL21" i="2"/>
  <c r="EM21" i="2"/>
  <c r="EJ22" i="2"/>
  <c r="EK22" i="2"/>
  <c r="EL22" i="2"/>
  <c r="EM22" i="2"/>
  <c r="EJ23" i="2"/>
  <c r="EK23" i="2"/>
  <c r="EL23" i="2"/>
  <c r="EM23" i="2"/>
  <c r="EJ24" i="2"/>
  <c r="EK24" i="2"/>
  <c r="EL24" i="2"/>
  <c r="EM24" i="2"/>
  <c r="EJ25" i="2"/>
  <c r="EK25" i="2"/>
  <c r="EL25" i="2"/>
  <c r="EM25" i="2"/>
  <c r="EJ26" i="2"/>
  <c r="EK26" i="2"/>
  <c r="EL26" i="2"/>
  <c r="EM26" i="2"/>
  <c r="EJ27" i="2"/>
  <c r="EK27" i="2"/>
  <c r="EL27" i="2"/>
  <c r="EM27" i="2"/>
  <c r="EJ28" i="2"/>
  <c r="EK28" i="2"/>
  <c r="EL28" i="2"/>
  <c r="EM28" i="2"/>
  <c r="EJ29" i="2"/>
  <c r="EK29" i="2"/>
  <c r="EL29" i="2"/>
  <c r="EM29" i="2"/>
  <c r="EM12" i="2"/>
  <c r="EL12" i="2"/>
  <c r="EK12" i="2"/>
  <c r="EJ12" i="2"/>
  <c r="FG33" i="2"/>
  <c r="FG32" i="2"/>
  <c r="FF32" i="2"/>
  <c r="FF13" i="2"/>
  <c r="FG13" i="2"/>
  <c r="FF14" i="2"/>
  <c r="FG14" i="2"/>
  <c r="FF15" i="2"/>
  <c r="FG15" i="2"/>
  <c r="FF16" i="2"/>
  <c r="FG16" i="2"/>
  <c r="FF17" i="2"/>
  <c r="FG17" i="2"/>
  <c r="FF18" i="2"/>
  <c r="FG18" i="2"/>
  <c r="FF19" i="2"/>
  <c r="FG19" i="2"/>
  <c r="FF20" i="2"/>
  <c r="FG20" i="2"/>
  <c r="FF21" i="2"/>
  <c r="FG21" i="2"/>
  <c r="FF22" i="2"/>
  <c r="FG22" i="2"/>
  <c r="FF23" i="2"/>
  <c r="FG23" i="2"/>
  <c r="FF24" i="2"/>
  <c r="FG24" i="2"/>
  <c r="FF25" i="2"/>
  <c r="FG25" i="2"/>
  <c r="FF26" i="2"/>
  <c r="FG26" i="2"/>
  <c r="FF27" i="2"/>
  <c r="FG27" i="2"/>
  <c r="FF28" i="2"/>
  <c r="FG28" i="2"/>
  <c r="FF29" i="2"/>
  <c r="FG29" i="2"/>
  <c r="FG12" i="2"/>
  <c r="FF12" i="2"/>
  <c r="II33" i="2"/>
  <c r="IH33" i="2"/>
  <c r="II32" i="2"/>
  <c r="IH32" i="2"/>
  <c r="IH13" i="2"/>
  <c r="II13" i="2"/>
  <c r="IH14" i="2"/>
  <c r="II14" i="2"/>
  <c r="IH15" i="2"/>
  <c r="II15" i="2"/>
  <c r="IH16" i="2"/>
  <c r="II16" i="2"/>
  <c r="IH17" i="2"/>
  <c r="II17" i="2"/>
  <c r="IH18" i="2"/>
  <c r="II18" i="2"/>
  <c r="IH19" i="2"/>
  <c r="II19" i="2"/>
  <c r="IH20" i="2"/>
  <c r="II20" i="2"/>
  <c r="IH21" i="2"/>
  <c r="II21" i="2"/>
  <c r="IH22" i="2"/>
  <c r="II22" i="2"/>
  <c r="IH23" i="2"/>
  <c r="II23" i="2"/>
  <c r="IH24" i="2"/>
  <c r="II24" i="2"/>
  <c r="IH25" i="2"/>
  <c r="II25" i="2"/>
  <c r="IH26" i="2"/>
  <c r="II26" i="2"/>
  <c r="IH27" i="2"/>
  <c r="II27" i="2"/>
  <c r="IH28" i="2"/>
  <c r="II28" i="2"/>
  <c r="IH29" i="2"/>
  <c r="II29" i="2"/>
  <c r="II12" i="2"/>
  <c r="IH12" i="2"/>
  <c r="IO33" i="2"/>
  <c r="IN33" i="2"/>
  <c r="IO32" i="2"/>
  <c r="IN32" i="2"/>
  <c r="IN13" i="2"/>
  <c r="IO13" i="2"/>
  <c r="FJ11" i="17" s="1"/>
  <c r="IN14" i="2"/>
  <c r="IO14" i="2"/>
  <c r="FJ12" i="17" s="1"/>
  <c r="IN15" i="2"/>
  <c r="IO15" i="2"/>
  <c r="FJ13" i="17" s="1"/>
  <c r="IN16" i="2"/>
  <c r="IQ16" i="2" s="1"/>
  <c r="IO16" i="2"/>
  <c r="IN17" i="2"/>
  <c r="IO17" i="2"/>
  <c r="FJ15" i="17" s="1"/>
  <c r="IN18" i="2"/>
  <c r="IO18" i="2"/>
  <c r="FJ16" i="17" s="1"/>
  <c r="IN19" i="2"/>
  <c r="IO19" i="2"/>
  <c r="FJ17" i="17" s="1"/>
  <c r="IN20" i="2"/>
  <c r="IO20" i="2"/>
  <c r="FJ18" i="17" s="1"/>
  <c r="IN21" i="2"/>
  <c r="IQ21" i="2" s="1"/>
  <c r="IO21" i="2"/>
  <c r="IN22" i="2"/>
  <c r="IO22" i="2"/>
  <c r="FJ20" i="17" s="1"/>
  <c r="IN23" i="2"/>
  <c r="IO23" i="2"/>
  <c r="FJ21" i="17" s="1"/>
  <c r="IN24" i="2"/>
  <c r="IO24" i="2"/>
  <c r="FJ22" i="17" s="1"/>
  <c r="IN25" i="2"/>
  <c r="IO25" i="2"/>
  <c r="FJ23" i="17" s="1"/>
  <c r="IN26" i="2"/>
  <c r="IO26" i="2"/>
  <c r="FJ24" i="17" s="1"/>
  <c r="IN27" i="2"/>
  <c r="IO27" i="2"/>
  <c r="FJ25" i="17" s="1"/>
  <c r="IN28" i="2"/>
  <c r="IO28" i="2"/>
  <c r="FJ26" i="17" s="1"/>
  <c r="IN29" i="2"/>
  <c r="IO29" i="2"/>
  <c r="FJ27" i="17" s="1"/>
  <c r="IO12" i="2"/>
  <c r="FJ10" i="17" s="1"/>
  <c r="IN12" i="2"/>
  <c r="IT14" i="2"/>
  <c r="IU14" i="2"/>
  <c r="IT15" i="2"/>
  <c r="IU15" i="2"/>
  <c r="IT16" i="2"/>
  <c r="IU16" i="2"/>
  <c r="IT17" i="2"/>
  <c r="IW17" i="2" s="1"/>
  <c r="IU17" i="2"/>
  <c r="IX17" i="2" s="1"/>
  <c r="IT18" i="2"/>
  <c r="IU18" i="2"/>
  <c r="IT20" i="2"/>
  <c r="IU20" i="2"/>
  <c r="IT21" i="2"/>
  <c r="IU21" i="2"/>
  <c r="IT23" i="2"/>
  <c r="IU23" i="2"/>
  <c r="IT24" i="2"/>
  <c r="IU24" i="2"/>
  <c r="IT25" i="2"/>
  <c r="IU25" i="2"/>
  <c r="IT26" i="2"/>
  <c r="IU26" i="2"/>
  <c r="IT27" i="2"/>
  <c r="IU27" i="2"/>
  <c r="IT28" i="2"/>
  <c r="IU28" i="2"/>
  <c r="IU12" i="2"/>
  <c r="IT12" i="2"/>
  <c r="JF13" i="2"/>
  <c r="JI13" i="2" s="1"/>
  <c r="JG13" i="2"/>
  <c r="JF14" i="2"/>
  <c r="JG14" i="2"/>
  <c r="FL12" i="17" s="1"/>
  <c r="JF15" i="2"/>
  <c r="JG15" i="2"/>
  <c r="FL13" i="17" s="1"/>
  <c r="JF16" i="2"/>
  <c r="JG16" i="2"/>
  <c r="FL14" i="17" s="1"/>
  <c r="JF17" i="2"/>
  <c r="JG17" i="2"/>
  <c r="FL15" i="17" s="1"/>
  <c r="JF18" i="2"/>
  <c r="JG18" i="2"/>
  <c r="FL16" i="17" s="1"/>
  <c r="JF19" i="2"/>
  <c r="JI19" i="2" s="1"/>
  <c r="JG19" i="2"/>
  <c r="JF20" i="2"/>
  <c r="JG20" i="2"/>
  <c r="FL18" i="17" s="1"/>
  <c r="JF21" i="2"/>
  <c r="JG21" i="2"/>
  <c r="FL19" i="17" s="1"/>
  <c r="JF22" i="2"/>
  <c r="JG22" i="2"/>
  <c r="FL20" i="17" s="1"/>
  <c r="JF23" i="2"/>
  <c r="JG23" i="2"/>
  <c r="FL21" i="17" s="1"/>
  <c r="JF24" i="2"/>
  <c r="JG24" i="2"/>
  <c r="FL22" i="17" s="1"/>
  <c r="JF25" i="2"/>
  <c r="JG25" i="2"/>
  <c r="FL23" i="17" s="1"/>
  <c r="JF26" i="2"/>
  <c r="JG26" i="2"/>
  <c r="FL24" i="17" s="1"/>
  <c r="JF27" i="2"/>
  <c r="JG27" i="2"/>
  <c r="FL25" i="17" s="1"/>
  <c r="JF28" i="2"/>
  <c r="JG28" i="2"/>
  <c r="FL26" i="17" s="1"/>
  <c r="JF29" i="2"/>
  <c r="JI29" i="2" s="1"/>
  <c r="JG29" i="2"/>
  <c r="JG12" i="2"/>
  <c r="FL10" i="17" s="1"/>
  <c r="JF12" i="2"/>
  <c r="JU33" i="2"/>
  <c r="JT33" i="2"/>
  <c r="JS33" i="2"/>
  <c r="JR33" i="2"/>
  <c r="JU32" i="2"/>
  <c r="JT32" i="2"/>
  <c r="JS32" i="2"/>
  <c r="JR32" i="2"/>
  <c r="JU29" i="2"/>
  <c r="FZ27" i="17" s="1"/>
  <c r="JT29" i="2"/>
  <c r="JS29" i="2"/>
  <c r="JR29" i="2"/>
  <c r="JU28" i="2"/>
  <c r="FZ26" i="17" s="1"/>
  <c r="JT28" i="2"/>
  <c r="JS28" i="2"/>
  <c r="JR28" i="2"/>
  <c r="JU27" i="2"/>
  <c r="FZ25" i="17" s="1"/>
  <c r="JT27" i="2"/>
  <c r="JS27" i="2"/>
  <c r="JR27" i="2"/>
  <c r="JU26" i="2"/>
  <c r="FZ24" i="17" s="1"/>
  <c r="JT26" i="2"/>
  <c r="JS26" i="2"/>
  <c r="JR26" i="2"/>
  <c r="JU25" i="2"/>
  <c r="FZ23" i="17" s="1"/>
  <c r="JT25" i="2"/>
  <c r="JS25" i="2"/>
  <c r="JR25" i="2"/>
  <c r="JU24" i="2"/>
  <c r="FZ22" i="17" s="1"/>
  <c r="JT24" i="2"/>
  <c r="JS24" i="2"/>
  <c r="JR24" i="2"/>
  <c r="JU23" i="2"/>
  <c r="FZ21" i="17" s="1"/>
  <c r="JT23" i="2"/>
  <c r="JS23" i="2"/>
  <c r="JR23" i="2"/>
  <c r="JU22" i="2"/>
  <c r="FZ20" i="17" s="1"/>
  <c r="JT22" i="2"/>
  <c r="JS22" i="2"/>
  <c r="JR22" i="2"/>
  <c r="JU21" i="2"/>
  <c r="FZ19" i="17" s="1"/>
  <c r="JT21" i="2"/>
  <c r="JS21" i="2"/>
  <c r="JR21" i="2"/>
  <c r="JU20" i="2"/>
  <c r="FZ18" i="17" s="1"/>
  <c r="JT20" i="2"/>
  <c r="JS20" i="2"/>
  <c r="JR20" i="2"/>
  <c r="JU19" i="2"/>
  <c r="FZ17" i="17" s="1"/>
  <c r="JT19" i="2"/>
  <c r="JS19" i="2"/>
  <c r="JR19" i="2"/>
  <c r="JU18" i="2"/>
  <c r="FZ16" i="17" s="1"/>
  <c r="JT18" i="2"/>
  <c r="JS18" i="2"/>
  <c r="JR18" i="2"/>
  <c r="JU17" i="2"/>
  <c r="FZ15" i="17" s="1"/>
  <c r="JT17" i="2"/>
  <c r="JS17" i="2"/>
  <c r="JR17" i="2"/>
  <c r="JU16" i="2"/>
  <c r="FZ14" i="17" s="1"/>
  <c r="JT16" i="2"/>
  <c r="JS16" i="2"/>
  <c r="JR16" i="2"/>
  <c r="JU15" i="2"/>
  <c r="FZ13" i="17" s="1"/>
  <c r="JT15" i="2"/>
  <c r="JS15" i="2"/>
  <c r="JR15" i="2"/>
  <c r="JU14" i="2"/>
  <c r="FZ12" i="17" s="1"/>
  <c r="JT14" i="2"/>
  <c r="JS14" i="2"/>
  <c r="JR14" i="2"/>
  <c r="JU13" i="2"/>
  <c r="FZ11" i="17" s="1"/>
  <c r="JT13" i="2"/>
  <c r="JS13" i="2"/>
  <c r="JR13" i="2"/>
  <c r="JU12" i="2"/>
  <c r="FZ10" i="17" s="1"/>
  <c r="JT12" i="2"/>
  <c r="JS12" i="2"/>
  <c r="JR12" i="2"/>
  <c r="KE29" i="2"/>
  <c r="KD29" i="2"/>
  <c r="KC29" i="2"/>
  <c r="KB29" i="2"/>
  <c r="KE28" i="2"/>
  <c r="KD28" i="2"/>
  <c r="KC28" i="2"/>
  <c r="KB28" i="2"/>
  <c r="KE27" i="2"/>
  <c r="KD27" i="2"/>
  <c r="KC27" i="2"/>
  <c r="KB27" i="2"/>
  <c r="KE26" i="2"/>
  <c r="KD26" i="2"/>
  <c r="KC26" i="2"/>
  <c r="KB26" i="2"/>
  <c r="KE25" i="2"/>
  <c r="KD25" i="2"/>
  <c r="KC25" i="2"/>
  <c r="KB25" i="2"/>
  <c r="KE24" i="2"/>
  <c r="KD24" i="2"/>
  <c r="KC24" i="2"/>
  <c r="KB24" i="2"/>
  <c r="KE23" i="2"/>
  <c r="KD23" i="2"/>
  <c r="KC23" i="2"/>
  <c r="KB23" i="2"/>
  <c r="KE22" i="2"/>
  <c r="KD22" i="2"/>
  <c r="KC22" i="2"/>
  <c r="KB22" i="2"/>
  <c r="KE21" i="2"/>
  <c r="KD21" i="2"/>
  <c r="KC21" i="2"/>
  <c r="KB21" i="2"/>
  <c r="KE20" i="2"/>
  <c r="KD20" i="2"/>
  <c r="KC20" i="2"/>
  <c r="KB20" i="2"/>
  <c r="KE19" i="2"/>
  <c r="KD19" i="2"/>
  <c r="KC19" i="2"/>
  <c r="KB19" i="2"/>
  <c r="KE18" i="2"/>
  <c r="KD18" i="2"/>
  <c r="KC18" i="2"/>
  <c r="KB18" i="2"/>
  <c r="KE17" i="2"/>
  <c r="KD17" i="2"/>
  <c r="KC17" i="2"/>
  <c r="KB17" i="2"/>
  <c r="KE16" i="2"/>
  <c r="KD16" i="2"/>
  <c r="KC16" i="2"/>
  <c r="KB16" i="2"/>
  <c r="KE15" i="2"/>
  <c r="KD15" i="2"/>
  <c r="KC15" i="2"/>
  <c r="KB15" i="2"/>
  <c r="KE14" i="2"/>
  <c r="KD14" i="2"/>
  <c r="KC14" i="2"/>
  <c r="KB14" i="2"/>
  <c r="KE13" i="2"/>
  <c r="KD13" i="2"/>
  <c r="KC13" i="2"/>
  <c r="KB13" i="2"/>
  <c r="KB12" i="2"/>
  <c r="KC12" i="2"/>
  <c r="KD12" i="2"/>
  <c r="KE12" i="2"/>
  <c r="KY29" i="2"/>
  <c r="GB27" i="17" s="1"/>
  <c r="KX29" i="2"/>
  <c r="KW29" i="2"/>
  <c r="GJ27" i="17" s="1"/>
  <c r="KV29" i="2"/>
  <c r="KY28" i="2"/>
  <c r="GB26" i="17" s="1"/>
  <c r="KX28" i="2"/>
  <c r="KW28" i="2"/>
  <c r="GJ26" i="17" s="1"/>
  <c r="KV28" i="2"/>
  <c r="KY27" i="2"/>
  <c r="GB25" i="17" s="1"/>
  <c r="KX27" i="2"/>
  <c r="KW27" i="2"/>
  <c r="GJ25" i="17" s="1"/>
  <c r="KV27" i="2"/>
  <c r="KY26" i="2"/>
  <c r="GB24" i="17" s="1"/>
  <c r="KX26" i="2"/>
  <c r="KW26" i="2"/>
  <c r="GJ24" i="17" s="1"/>
  <c r="KV26" i="2"/>
  <c r="KY25" i="2"/>
  <c r="GB23" i="17" s="1"/>
  <c r="KX25" i="2"/>
  <c r="KW25" i="2"/>
  <c r="GJ23" i="17" s="1"/>
  <c r="KV25" i="2"/>
  <c r="KY24" i="2"/>
  <c r="GB22" i="17" s="1"/>
  <c r="KX24" i="2"/>
  <c r="KW24" i="2"/>
  <c r="GJ22" i="17" s="1"/>
  <c r="KV24" i="2"/>
  <c r="KY23" i="2"/>
  <c r="GB21" i="17" s="1"/>
  <c r="KX23" i="2"/>
  <c r="KW23" i="2"/>
  <c r="GJ21" i="17" s="1"/>
  <c r="KV23" i="2"/>
  <c r="KY22" i="2"/>
  <c r="GB20" i="17" s="1"/>
  <c r="KX22" i="2"/>
  <c r="KW22" i="2"/>
  <c r="GJ20" i="17" s="1"/>
  <c r="KV22" i="2"/>
  <c r="KY21" i="2"/>
  <c r="GB19" i="17" s="1"/>
  <c r="KX21" i="2"/>
  <c r="KW21" i="2"/>
  <c r="GJ19" i="17" s="1"/>
  <c r="KV21" i="2"/>
  <c r="KY20" i="2"/>
  <c r="GB18" i="17" s="1"/>
  <c r="KX20" i="2"/>
  <c r="KW20" i="2"/>
  <c r="GJ18" i="17" s="1"/>
  <c r="KV20" i="2"/>
  <c r="KY19" i="2"/>
  <c r="GB17" i="17" s="1"/>
  <c r="KX19" i="2"/>
  <c r="KW19" i="2"/>
  <c r="GJ17" i="17" s="1"/>
  <c r="KV19" i="2"/>
  <c r="KY18" i="2"/>
  <c r="GB16" i="17" s="1"/>
  <c r="KX18" i="2"/>
  <c r="KW18" i="2"/>
  <c r="GJ16" i="17" s="1"/>
  <c r="KV18" i="2"/>
  <c r="KY17" i="2"/>
  <c r="GB15" i="17" s="1"/>
  <c r="KX17" i="2"/>
  <c r="KW17" i="2"/>
  <c r="GJ15" i="17" s="1"/>
  <c r="KV17" i="2"/>
  <c r="KY16" i="2"/>
  <c r="GB14" i="17" s="1"/>
  <c r="KX16" i="2"/>
  <c r="KW16" i="2"/>
  <c r="GJ14" i="17" s="1"/>
  <c r="KV16" i="2"/>
  <c r="KY15" i="2"/>
  <c r="GB13" i="17" s="1"/>
  <c r="KX15" i="2"/>
  <c r="KW15" i="2"/>
  <c r="GJ13" i="17" s="1"/>
  <c r="KV15" i="2"/>
  <c r="KY14" i="2"/>
  <c r="GB12" i="17" s="1"/>
  <c r="KX14" i="2"/>
  <c r="KW14" i="2"/>
  <c r="GJ12" i="17" s="1"/>
  <c r="KV14" i="2"/>
  <c r="KY13" i="2"/>
  <c r="GB11" i="17" s="1"/>
  <c r="KX13" i="2"/>
  <c r="KW13" i="2"/>
  <c r="GJ11" i="17" s="1"/>
  <c r="KV13" i="2"/>
  <c r="KY12" i="2"/>
  <c r="GB10" i="17" s="1"/>
  <c r="KX12" i="2"/>
  <c r="KW12" i="2"/>
  <c r="GJ10" i="17" s="1"/>
  <c r="GJ28" i="17" s="1"/>
  <c r="GJ35" i="17" s="1"/>
  <c r="KV12" i="2"/>
  <c r="LR33" i="2"/>
  <c r="LU33" i="2"/>
  <c r="LT33" i="2"/>
  <c r="LR32" i="2"/>
  <c r="LU32" i="2"/>
  <c r="LT32" i="2"/>
  <c r="LT13" i="2"/>
  <c r="LU13" i="2"/>
  <c r="LR13" i="2"/>
  <c r="LT14" i="2"/>
  <c r="LU14" i="2"/>
  <c r="LR14" i="2"/>
  <c r="LT15" i="2"/>
  <c r="LU15" i="2"/>
  <c r="LR15" i="2"/>
  <c r="LT16" i="2"/>
  <c r="LU16" i="2"/>
  <c r="LR16" i="2"/>
  <c r="LT17" i="2"/>
  <c r="LU17" i="2"/>
  <c r="LR17" i="2"/>
  <c r="LT18" i="2"/>
  <c r="LU18" i="2"/>
  <c r="LR18" i="2"/>
  <c r="LT19" i="2"/>
  <c r="LU19" i="2"/>
  <c r="LR19" i="2"/>
  <c r="LT20" i="2"/>
  <c r="LU20" i="2"/>
  <c r="LR20" i="2"/>
  <c r="LT21" i="2"/>
  <c r="LU21" i="2"/>
  <c r="LR21" i="2"/>
  <c r="LT22" i="2"/>
  <c r="LU22" i="2"/>
  <c r="LR22" i="2"/>
  <c r="LT23" i="2"/>
  <c r="LU23" i="2"/>
  <c r="LR23" i="2"/>
  <c r="LT24" i="2"/>
  <c r="LU24" i="2"/>
  <c r="LR24" i="2"/>
  <c r="LT25" i="2"/>
  <c r="LU25" i="2"/>
  <c r="LR25" i="2"/>
  <c r="LT26" i="2"/>
  <c r="LU26" i="2"/>
  <c r="LR26" i="2"/>
  <c r="LT27" i="2"/>
  <c r="LU27" i="2"/>
  <c r="LR27" i="2"/>
  <c r="LT28" i="2"/>
  <c r="LU28" i="2"/>
  <c r="LR28" i="2"/>
  <c r="LT29" i="2"/>
  <c r="LU29" i="2"/>
  <c r="LR29" i="2"/>
  <c r="LR12" i="2"/>
  <c r="LU12" i="2"/>
  <c r="LT12" i="2"/>
  <c r="LG33" i="2"/>
  <c r="LM33" i="2" s="1"/>
  <c r="LF33" i="2"/>
  <c r="LG32" i="2"/>
  <c r="LF32" i="2"/>
  <c r="LF29" i="2"/>
  <c r="LG29" i="2"/>
  <c r="LF13" i="2"/>
  <c r="LG13" i="2"/>
  <c r="LF14" i="2"/>
  <c r="LG14" i="2"/>
  <c r="LF15" i="2"/>
  <c r="LG15" i="2"/>
  <c r="LF16" i="2"/>
  <c r="LG16" i="2"/>
  <c r="LF17" i="2"/>
  <c r="LG17" i="2"/>
  <c r="LF18" i="2"/>
  <c r="LG18" i="2"/>
  <c r="LF19" i="2"/>
  <c r="LG19" i="2"/>
  <c r="LF20" i="2"/>
  <c r="LG20" i="2"/>
  <c r="LF21" i="2"/>
  <c r="LG21" i="2"/>
  <c r="LF22" i="2"/>
  <c r="LG22" i="2"/>
  <c r="LF23" i="2"/>
  <c r="LG23" i="2"/>
  <c r="LF24" i="2"/>
  <c r="LG24" i="2"/>
  <c r="LF25" i="2"/>
  <c r="LG25" i="2"/>
  <c r="LF26" i="2"/>
  <c r="LG26" i="2"/>
  <c r="LF27" i="2"/>
  <c r="LG27" i="2"/>
  <c r="LM27" i="2" s="1"/>
  <c r="LF28" i="2"/>
  <c r="LG28" i="2"/>
  <c r="LG12" i="2"/>
  <c r="LF12" i="2"/>
  <c r="MD33" i="2"/>
  <c r="MC33" i="2"/>
  <c r="MB33" i="2"/>
  <c r="MD32" i="2"/>
  <c r="MC32" i="2"/>
  <c r="MB32" i="2"/>
  <c r="MB13" i="2"/>
  <c r="MC13" i="2"/>
  <c r="MD13" i="2"/>
  <c r="MB14" i="2"/>
  <c r="MC14" i="2"/>
  <c r="MD14" i="2"/>
  <c r="MB15" i="2"/>
  <c r="MC15" i="2"/>
  <c r="MD15" i="2"/>
  <c r="MB16" i="2"/>
  <c r="MC16" i="2"/>
  <c r="MD16" i="2"/>
  <c r="MB17" i="2"/>
  <c r="MC17" i="2"/>
  <c r="MD17" i="2"/>
  <c r="MB18" i="2"/>
  <c r="MC18" i="2"/>
  <c r="MD18" i="2"/>
  <c r="MB19" i="2"/>
  <c r="MC19" i="2"/>
  <c r="MD19" i="2"/>
  <c r="MB20" i="2"/>
  <c r="MC20" i="2"/>
  <c r="MD20" i="2"/>
  <c r="MB21" i="2"/>
  <c r="MC21" i="2"/>
  <c r="MD21" i="2"/>
  <c r="MB22" i="2"/>
  <c r="MC22" i="2"/>
  <c r="MD22" i="2"/>
  <c r="MB23" i="2"/>
  <c r="MC23" i="2"/>
  <c r="MD23" i="2"/>
  <c r="MB24" i="2"/>
  <c r="MC24" i="2"/>
  <c r="MD24" i="2"/>
  <c r="MB25" i="2"/>
  <c r="MC25" i="2"/>
  <c r="MD25" i="2"/>
  <c r="MB26" i="2"/>
  <c r="MC26" i="2"/>
  <c r="MD26" i="2"/>
  <c r="MB27" i="2"/>
  <c r="MC27" i="2"/>
  <c r="MD27" i="2"/>
  <c r="MB28" i="2"/>
  <c r="MC28" i="2"/>
  <c r="MD28" i="2"/>
  <c r="MB29" i="2"/>
  <c r="MC29" i="2"/>
  <c r="MD29" i="2"/>
  <c r="MD12" i="2"/>
  <c r="MC12" i="2"/>
  <c r="MB12" i="2"/>
  <c r="BV33" i="2"/>
  <c r="BV32" i="2"/>
  <c r="BV13" i="2"/>
  <c r="BV14" i="2"/>
  <c r="BV15" i="2"/>
  <c r="BV16" i="2"/>
  <c r="BV17" i="2"/>
  <c r="BV18" i="2"/>
  <c r="BV19" i="2"/>
  <c r="BV20" i="2"/>
  <c r="BV21" i="2"/>
  <c r="BV22" i="2"/>
  <c r="BV23" i="2"/>
  <c r="BV24" i="2"/>
  <c r="BV25" i="2"/>
  <c r="BV26" i="2"/>
  <c r="BV27" i="2"/>
  <c r="BV28" i="2"/>
  <c r="BV29" i="2"/>
  <c r="BV12" i="2"/>
  <c r="CD13" i="2"/>
  <c r="CD14" i="2"/>
  <c r="CD15" i="2"/>
  <c r="CD16" i="2"/>
  <c r="CD17" i="2"/>
  <c r="CD18" i="2"/>
  <c r="CD19" i="2"/>
  <c r="CD20" i="2"/>
  <c r="CD21" i="2"/>
  <c r="CD22" i="2"/>
  <c r="CD23" i="2"/>
  <c r="CD24" i="2"/>
  <c r="CD25" i="2"/>
  <c r="CD26" i="2"/>
  <c r="CD27" i="2"/>
  <c r="CD28" i="2"/>
  <c r="CD29" i="2"/>
  <c r="CD12" i="2"/>
  <c r="MO33" i="2"/>
  <c r="MN33" i="2"/>
  <c r="MO32" i="2"/>
  <c r="MN13" i="2"/>
  <c r="MO13" i="2"/>
  <c r="MN14" i="2"/>
  <c r="MO14" i="2"/>
  <c r="MN15" i="2"/>
  <c r="MO15" i="2"/>
  <c r="MN16" i="2"/>
  <c r="MO16" i="2"/>
  <c r="MN17" i="2"/>
  <c r="MO17" i="2"/>
  <c r="MN18" i="2"/>
  <c r="MO18" i="2"/>
  <c r="MN19" i="2"/>
  <c r="MO19" i="2"/>
  <c r="MN20" i="2"/>
  <c r="MO20" i="2"/>
  <c r="MN21" i="2"/>
  <c r="MO21" i="2"/>
  <c r="MN22" i="2"/>
  <c r="MO22" i="2"/>
  <c r="MN23" i="2"/>
  <c r="MO23" i="2"/>
  <c r="MN24" i="2"/>
  <c r="MO24" i="2"/>
  <c r="MN25" i="2"/>
  <c r="MO25" i="2"/>
  <c r="MN26" i="2"/>
  <c r="MO26" i="2"/>
  <c r="MN27" i="2"/>
  <c r="MO27" i="2"/>
  <c r="MN28" i="2"/>
  <c r="MO28" i="2"/>
  <c r="MN29" i="2"/>
  <c r="MO29" i="2"/>
  <c r="MO12" i="2"/>
  <c r="MN12" i="2"/>
  <c r="MV13" i="2"/>
  <c r="MW13" i="2"/>
  <c r="MV14" i="2"/>
  <c r="MW14" i="2"/>
  <c r="MV15" i="2"/>
  <c r="MW15" i="2"/>
  <c r="MV16" i="2"/>
  <c r="MW16" i="2"/>
  <c r="MV17" i="2"/>
  <c r="MW17" i="2"/>
  <c r="MV18" i="2"/>
  <c r="MW18" i="2"/>
  <c r="MV19" i="2"/>
  <c r="MW19" i="2"/>
  <c r="MV20" i="2"/>
  <c r="MW20" i="2"/>
  <c r="MV21" i="2"/>
  <c r="MW21" i="2"/>
  <c r="MV22" i="2"/>
  <c r="MW22" i="2"/>
  <c r="MV23" i="2"/>
  <c r="MW23" i="2"/>
  <c r="MV24" i="2"/>
  <c r="MW24" i="2"/>
  <c r="MV25" i="2"/>
  <c r="MW25" i="2"/>
  <c r="MV26" i="2"/>
  <c r="MW26" i="2"/>
  <c r="MV27" i="2"/>
  <c r="MW27" i="2"/>
  <c r="MV28" i="2"/>
  <c r="MW28" i="2"/>
  <c r="MV29" i="2"/>
  <c r="MW29" i="2"/>
  <c r="NL13" i="2"/>
  <c r="NM13" i="2"/>
  <c r="HX11" i="17" s="1"/>
  <c r="NL14" i="2"/>
  <c r="NM14" i="2"/>
  <c r="HX12" i="17" s="1"/>
  <c r="NL15" i="2"/>
  <c r="NM15" i="2"/>
  <c r="HX13" i="17" s="1"/>
  <c r="NL16" i="2"/>
  <c r="NM16" i="2"/>
  <c r="HX14" i="17" s="1"/>
  <c r="NL17" i="2"/>
  <c r="NM17" i="2"/>
  <c r="HX15" i="17" s="1"/>
  <c r="NL18" i="2"/>
  <c r="NM18" i="2"/>
  <c r="HX16" i="17" s="1"/>
  <c r="NL19" i="2"/>
  <c r="NM19" i="2"/>
  <c r="HX17" i="17" s="1"/>
  <c r="NL20" i="2"/>
  <c r="NM20" i="2"/>
  <c r="HX18" i="17" s="1"/>
  <c r="NL21" i="2"/>
  <c r="NM21" i="2"/>
  <c r="HX19" i="17" s="1"/>
  <c r="NL22" i="2"/>
  <c r="NM22" i="2"/>
  <c r="HX20" i="17" s="1"/>
  <c r="NL23" i="2"/>
  <c r="NM23" i="2"/>
  <c r="HX21" i="17" s="1"/>
  <c r="NL24" i="2"/>
  <c r="NM24" i="2"/>
  <c r="HX22" i="17" s="1"/>
  <c r="NL25" i="2"/>
  <c r="NM25" i="2"/>
  <c r="HX23" i="17" s="1"/>
  <c r="NL26" i="2"/>
  <c r="NM26" i="2"/>
  <c r="HX24" i="17" s="1"/>
  <c r="NL27" i="2"/>
  <c r="NM27" i="2"/>
  <c r="HX25" i="17" s="1"/>
  <c r="NL28" i="2"/>
  <c r="NM28" i="2"/>
  <c r="HX26" i="17" s="1"/>
  <c r="NL29" i="2"/>
  <c r="NM29" i="2"/>
  <c r="HX27" i="17" s="1"/>
  <c r="NM12" i="2"/>
  <c r="HX10" i="17" s="1"/>
  <c r="NL12" i="2"/>
  <c r="MW12" i="2"/>
  <c r="MV12" i="2"/>
  <c r="Z29" i="3"/>
  <c r="Z28" i="3"/>
  <c r="Z9" i="3"/>
  <c r="Z10" i="3"/>
  <c r="Z11" i="3"/>
  <c r="Z12" i="3"/>
  <c r="Z13" i="3"/>
  <c r="Z14" i="3"/>
  <c r="Z15" i="3"/>
  <c r="Z16" i="3"/>
  <c r="Z17" i="3"/>
  <c r="Z18" i="3"/>
  <c r="Z19" i="3"/>
  <c r="Z20" i="3"/>
  <c r="Z21" i="3"/>
  <c r="Z22" i="3"/>
  <c r="Z23" i="3"/>
  <c r="Z24" i="3"/>
  <c r="Z25" i="3"/>
  <c r="Z8" i="3"/>
  <c r="BB29" i="3"/>
  <c r="AZ29" i="3"/>
  <c r="AX29" i="3"/>
  <c r="AT29" i="3"/>
  <c r="AN29" i="3"/>
  <c r="AJ29" i="3"/>
  <c r="AH29" i="3"/>
  <c r="AF29" i="3"/>
  <c r="AD29" i="3"/>
  <c r="AB29" i="3"/>
  <c r="R29" i="3"/>
  <c r="P29" i="3"/>
  <c r="L29" i="3"/>
  <c r="J29" i="3"/>
  <c r="H29" i="3"/>
  <c r="D29" i="3"/>
  <c r="BB28" i="3"/>
  <c r="AZ28" i="3"/>
  <c r="AX28" i="3"/>
  <c r="AT28" i="3"/>
  <c r="AP28" i="3"/>
  <c r="AN28" i="3"/>
  <c r="AJ28" i="3"/>
  <c r="AH28" i="3"/>
  <c r="AF28" i="3"/>
  <c r="AD28" i="3"/>
  <c r="AB28" i="3"/>
  <c r="V28" i="3"/>
  <c r="R28" i="3"/>
  <c r="P28" i="3"/>
  <c r="L28" i="3"/>
  <c r="J28" i="3"/>
  <c r="H28" i="3"/>
  <c r="D28" i="3"/>
  <c r="D9" i="3"/>
  <c r="H9" i="3"/>
  <c r="J9" i="3"/>
  <c r="L9" i="3"/>
  <c r="P9" i="3"/>
  <c r="AB9" i="3"/>
  <c r="AD9" i="3"/>
  <c r="AF9" i="3"/>
  <c r="AH9" i="3"/>
  <c r="AN9" i="3"/>
  <c r="AP9" i="3"/>
  <c r="AT9" i="3"/>
  <c r="AX9" i="3"/>
  <c r="AZ9" i="3"/>
  <c r="BB9" i="3"/>
  <c r="BC9" i="3" s="1"/>
  <c r="D10" i="3"/>
  <c r="H10" i="3"/>
  <c r="J10" i="3"/>
  <c r="L10" i="3"/>
  <c r="P10" i="3"/>
  <c r="AB10" i="3"/>
  <c r="AD10" i="3"/>
  <c r="AF10" i="3"/>
  <c r="AH10" i="3"/>
  <c r="AN10" i="3"/>
  <c r="AP10" i="3"/>
  <c r="AT10" i="3"/>
  <c r="AX10" i="3"/>
  <c r="AZ10" i="3"/>
  <c r="BB10" i="3"/>
  <c r="BC10" i="3" s="1"/>
  <c r="D11" i="3"/>
  <c r="H11" i="3"/>
  <c r="J11" i="3"/>
  <c r="L11" i="3"/>
  <c r="P11" i="3"/>
  <c r="AB11" i="3"/>
  <c r="AD11" i="3"/>
  <c r="AF11" i="3"/>
  <c r="AH11" i="3"/>
  <c r="AN11" i="3"/>
  <c r="AP11" i="3"/>
  <c r="AT11" i="3"/>
  <c r="AX11" i="3"/>
  <c r="AZ11" i="3"/>
  <c r="BB11" i="3"/>
  <c r="BC11" i="3" s="1"/>
  <c r="D12" i="3"/>
  <c r="H12" i="3"/>
  <c r="J12" i="3"/>
  <c r="L12" i="3"/>
  <c r="P12" i="3"/>
  <c r="AB12" i="3"/>
  <c r="AD12" i="3"/>
  <c r="AF12" i="3"/>
  <c r="AH12" i="3"/>
  <c r="AN12" i="3"/>
  <c r="AP12" i="3"/>
  <c r="AT12" i="3"/>
  <c r="AX12" i="3"/>
  <c r="AZ12" i="3"/>
  <c r="BB12" i="3"/>
  <c r="BC12" i="3" s="1"/>
  <c r="D13" i="3"/>
  <c r="H13" i="3"/>
  <c r="J13" i="3"/>
  <c r="L13" i="3"/>
  <c r="P13" i="3"/>
  <c r="AB13" i="3"/>
  <c r="AD13" i="3"/>
  <c r="AF13" i="3"/>
  <c r="AH13" i="3"/>
  <c r="AN13" i="3"/>
  <c r="AP13" i="3"/>
  <c r="AT13" i="3"/>
  <c r="AX13" i="3"/>
  <c r="AZ13" i="3"/>
  <c r="BB13" i="3"/>
  <c r="BC13" i="3" s="1"/>
  <c r="D14" i="3"/>
  <c r="H14" i="3"/>
  <c r="J14" i="3"/>
  <c r="L14" i="3"/>
  <c r="P14" i="3"/>
  <c r="AB14" i="3"/>
  <c r="AD14" i="3"/>
  <c r="AF14" i="3"/>
  <c r="AH14" i="3"/>
  <c r="AN14" i="3"/>
  <c r="AP14" i="3"/>
  <c r="AT14" i="3"/>
  <c r="AX14" i="3"/>
  <c r="AZ14" i="3"/>
  <c r="BB14" i="3"/>
  <c r="BC14" i="3" s="1"/>
  <c r="D15" i="3"/>
  <c r="H15" i="3"/>
  <c r="J15" i="3"/>
  <c r="L15" i="3"/>
  <c r="P15" i="3"/>
  <c r="AB15" i="3"/>
  <c r="AD15" i="3"/>
  <c r="AF15" i="3"/>
  <c r="AH15" i="3"/>
  <c r="AJ15" i="3"/>
  <c r="AN15" i="3"/>
  <c r="AT15" i="3"/>
  <c r="AX15" i="3"/>
  <c r="AZ15" i="3"/>
  <c r="BB15" i="3"/>
  <c r="BC15" i="3" s="1"/>
  <c r="D16" i="3"/>
  <c r="H16" i="3"/>
  <c r="J16" i="3"/>
  <c r="L16" i="3"/>
  <c r="P16" i="3"/>
  <c r="V16" i="3"/>
  <c r="AB16" i="3"/>
  <c r="AD16" i="3"/>
  <c r="AF16" i="3"/>
  <c r="AH16" i="3"/>
  <c r="AN16" i="3"/>
  <c r="AP16" i="3"/>
  <c r="AT16" i="3"/>
  <c r="AX16" i="3"/>
  <c r="AZ16" i="3"/>
  <c r="BB16" i="3"/>
  <c r="BC16" i="3" s="1"/>
  <c r="D17" i="3"/>
  <c r="H17" i="3"/>
  <c r="J17" i="3"/>
  <c r="L17" i="3"/>
  <c r="P17" i="3"/>
  <c r="AB17" i="3"/>
  <c r="AD17" i="3"/>
  <c r="AF17" i="3"/>
  <c r="AH17" i="3"/>
  <c r="AN17" i="3"/>
  <c r="AP17" i="3"/>
  <c r="AT17" i="3"/>
  <c r="AX17" i="3"/>
  <c r="AZ17" i="3"/>
  <c r="BB17" i="3"/>
  <c r="BC17" i="3" s="1"/>
  <c r="D18" i="3"/>
  <c r="H18" i="3"/>
  <c r="J18" i="3"/>
  <c r="L18" i="3"/>
  <c r="P18" i="3"/>
  <c r="V18" i="3"/>
  <c r="AB18" i="3"/>
  <c r="AD18" i="3"/>
  <c r="AF18" i="3"/>
  <c r="AH18" i="3"/>
  <c r="AN18" i="3"/>
  <c r="AT18" i="3"/>
  <c r="AX18" i="3"/>
  <c r="AZ18" i="3"/>
  <c r="BB18" i="3"/>
  <c r="BC18" i="3" s="1"/>
  <c r="D19" i="3"/>
  <c r="H19" i="3"/>
  <c r="J19" i="3"/>
  <c r="L19" i="3"/>
  <c r="P19" i="3"/>
  <c r="AB19" i="3"/>
  <c r="AD19" i="3"/>
  <c r="AF19" i="3"/>
  <c r="AH19" i="3"/>
  <c r="AN19" i="3"/>
  <c r="AP19" i="3"/>
  <c r="AT19" i="3"/>
  <c r="AX19" i="3"/>
  <c r="AZ19" i="3"/>
  <c r="BB19" i="3"/>
  <c r="BC19" i="3" s="1"/>
  <c r="D20" i="3"/>
  <c r="H20" i="3"/>
  <c r="J20" i="3"/>
  <c r="L20" i="3"/>
  <c r="P20" i="3"/>
  <c r="V20" i="3"/>
  <c r="AB20" i="3"/>
  <c r="AD20" i="3"/>
  <c r="AF20" i="3"/>
  <c r="AH20" i="3"/>
  <c r="AN20" i="3"/>
  <c r="AP20" i="3"/>
  <c r="AT20" i="3"/>
  <c r="AX20" i="3"/>
  <c r="AZ20" i="3"/>
  <c r="BB20" i="3"/>
  <c r="BC20" i="3" s="1"/>
  <c r="D21" i="3"/>
  <c r="H21" i="3"/>
  <c r="J21" i="3"/>
  <c r="L21" i="3"/>
  <c r="P21" i="3"/>
  <c r="AB21" i="3"/>
  <c r="AD21" i="3"/>
  <c r="AF21" i="3"/>
  <c r="AH21" i="3"/>
  <c r="AN21" i="3"/>
  <c r="AP21" i="3"/>
  <c r="AT21" i="3"/>
  <c r="AX21" i="3"/>
  <c r="AZ21" i="3"/>
  <c r="BB21" i="3"/>
  <c r="BC21" i="3" s="1"/>
  <c r="D22" i="3"/>
  <c r="H22" i="3"/>
  <c r="J22" i="3"/>
  <c r="L22" i="3"/>
  <c r="P22" i="3"/>
  <c r="AB22" i="3"/>
  <c r="AD22" i="3"/>
  <c r="AF22" i="3"/>
  <c r="AH22" i="3"/>
  <c r="AN22" i="3"/>
  <c r="AP22" i="3"/>
  <c r="AT22" i="3"/>
  <c r="AZ22" i="3"/>
  <c r="BB22" i="3"/>
  <c r="BC22" i="3" s="1"/>
  <c r="D23" i="3"/>
  <c r="H23" i="3"/>
  <c r="J23" i="3"/>
  <c r="L23" i="3"/>
  <c r="P23" i="3"/>
  <c r="AB23" i="3"/>
  <c r="AD23" i="3"/>
  <c r="AF23" i="3"/>
  <c r="AH23" i="3"/>
  <c r="AN23" i="3"/>
  <c r="AP23" i="3"/>
  <c r="AT23" i="3"/>
  <c r="AX23" i="3"/>
  <c r="AZ23" i="3"/>
  <c r="BB23" i="3"/>
  <c r="BC23" i="3" s="1"/>
  <c r="D24" i="3"/>
  <c r="H24" i="3"/>
  <c r="J24" i="3"/>
  <c r="L24" i="3"/>
  <c r="P24" i="3"/>
  <c r="AB24" i="3"/>
  <c r="AD24" i="3"/>
  <c r="AF24" i="3"/>
  <c r="AH24" i="3"/>
  <c r="AN24" i="3"/>
  <c r="AP24" i="3"/>
  <c r="AT24" i="3"/>
  <c r="AX24" i="3"/>
  <c r="AZ24" i="3"/>
  <c r="BB24" i="3"/>
  <c r="BC24" i="3" s="1"/>
  <c r="D25" i="3"/>
  <c r="H25" i="3"/>
  <c r="J25" i="3"/>
  <c r="L25" i="3"/>
  <c r="P25" i="3"/>
  <c r="AB25" i="3"/>
  <c r="AD25" i="3"/>
  <c r="AF25" i="3"/>
  <c r="AH25" i="3"/>
  <c r="AN25" i="3"/>
  <c r="AP25" i="3"/>
  <c r="AT25" i="3"/>
  <c r="AX25" i="3"/>
  <c r="AZ25" i="3"/>
  <c r="BB25" i="3"/>
  <c r="BC25" i="3" s="1"/>
  <c r="D8" i="3"/>
  <c r="H8" i="3"/>
  <c r="J8" i="3"/>
  <c r="L8" i="3"/>
  <c r="P8" i="3"/>
  <c r="AB8" i="3"/>
  <c r="AD8" i="3"/>
  <c r="AF8" i="3"/>
  <c r="AH8" i="3"/>
  <c r="AN8" i="3"/>
  <c r="AP8" i="3"/>
  <c r="AT8" i="3"/>
  <c r="AX8" i="3"/>
  <c r="AZ8" i="3"/>
  <c r="BB8" i="3"/>
  <c r="BC8" i="3" s="1"/>
  <c r="CK25" i="4"/>
  <c r="CJ25" i="4"/>
  <c r="CF25" i="4"/>
  <c r="CB25" i="4"/>
  <c r="BZ25" i="4"/>
  <c r="BY25" i="4"/>
  <c r="BV25" i="4"/>
  <c r="BT25" i="4"/>
  <c r="BS25" i="4"/>
  <c r="BP25" i="4"/>
  <c r="BH25" i="4"/>
  <c r="BD25" i="4"/>
  <c r="AV25" i="4"/>
  <c r="AU25" i="4"/>
  <c r="AR25" i="4"/>
  <c r="AJ25" i="4"/>
  <c r="AI25" i="4"/>
  <c r="AF25" i="4"/>
  <c r="AD25" i="4"/>
  <c r="AC25" i="4"/>
  <c r="Z25" i="4"/>
  <c r="R25" i="4"/>
  <c r="S25" i="4" s="1"/>
  <c r="N25" i="4"/>
  <c r="O25" i="4" s="1"/>
  <c r="CK24" i="4"/>
  <c r="CJ24" i="4"/>
  <c r="CF24" i="4"/>
  <c r="CB24" i="4"/>
  <c r="BZ24" i="4"/>
  <c r="BY24" i="4"/>
  <c r="BV24" i="4"/>
  <c r="BT24" i="4"/>
  <c r="BS24" i="4"/>
  <c r="BP24" i="4"/>
  <c r="BH24" i="4"/>
  <c r="BD24" i="4"/>
  <c r="AV24" i="4"/>
  <c r="AU24" i="4"/>
  <c r="AR24" i="4"/>
  <c r="AJ24" i="4"/>
  <c r="AI24" i="4"/>
  <c r="AF24" i="4"/>
  <c r="AD24" i="4"/>
  <c r="AC24" i="4"/>
  <c r="Z24" i="4"/>
  <c r="R24" i="4"/>
  <c r="S24" i="4" s="1"/>
  <c r="N24" i="4"/>
  <c r="O24" i="4" s="1"/>
  <c r="CK23" i="4"/>
  <c r="CJ23" i="4"/>
  <c r="CF23" i="4"/>
  <c r="CB23" i="4"/>
  <c r="BZ23" i="4"/>
  <c r="BY23" i="4"/>
  <c r="BV23" i="4"/>
  <c r="BT23" i="4"/>
  <c r="BS23" i="4"/>
  <c r="BP23" i="4"/>
  <c r="BH23" i="4"/>
  <c r="BD23" i="4"/>
  <c r="AV23" i="4"/>
  <c r="AU23" i="4"/>
  <c r="AR23" i="4"/>
  <c r="AJ23" i="4"/>
  <c r="AI23" i="4"/>
  <c r="AF23" i="4"/>
  <c r="AD23" i="4"/>
  <c r="AC23" i="4"/>
  <c r="R23" i="4"/>
  <c r="S23" i="4" s="1"/>
  <c r="N23" i="4"/>
  <c r="O23" i="4" s="1"/>
  <c r="CK22" i="4"/>
  <c r="CJ22" i="4"/>
  <c r="CF22" i="4"/>
  <c r="CB22" i="4"/>
  <c r="BZ22" i="4"/>
  <c r="BY22" i="4"/>
  <c r="BV22" i="4"/>
  <c r="BT22" i="4"/>
  <c r="BS22" i="4"/>
  <c r="BP22" i="4"/>
  <c r="BH22" i="4"/>
  <c r="BD22" i="4"/>
  <c r="AV22" i="4"/>
  <c r="AU22" i="4"/>
  <c r="AR22" i="4"/>
  <c r="AJ22" i="4"/>
  <c r="AI22" i="4"/>
  <c r="AF22" i="4"/>
  <c r="AD22" i="4"/>
  <c r="AC22" i="4"/>
  <c r="Z22" i="4"/>
  <c r="R22" i="4"/>
  <c r="S22" i="4" s="1"/>
  <c r="N22" i="4"/>
  <c r="O22" i="4" s="1"/>
  <c r="CK21" i="4"/>
  <c r="CJ21" i="4"/>
  <c r="CF21" i="4"/>
  <c r="CB21" i="4"/>
  <c r="BZ21" i="4"/>
  <c r="BY21" i="4"/>
  <c r="BV21" i="4"/>
  <c r="BT21" i="4"/>
  <c r="BS21" i="4"/>
  <c r="BP21" i="4"/>
  <c r="BH21" i="4"/>
  <c r="BD21" i="4"/>
  <c r="AV21" i="4"/>
  <c r="AU21" i="4"/>
  <c r="AR21" i="4"/>
  <c r="AJ21" i="4"/>
  <c r="AI21" i="4"/>
  <c r="AF21" i="4"/>
  <c r="AD21" i="4"/>
  <c r="AC21" i="4"/>
  <c r="Z21" i="4"/>
  <c r="R21" i="4"/>
  <c r="S21" i="4" s="1"/>
  <c r="N21" i="4"/>
  <c r="O21" i="4" s="1"/>
  <c r="CK20" i="4"/>
  <c r="CJ20" i="4"/>
  <c r="CF20" i="4"/>
  <c r="CB20" i="4"/>
  <c r="BZ20" i="4"/>
  <c r="BY20" i="4"/>
  <c r="BV20" i="4"/>
  <c r="BT20" i="4"/>
  <c r="BS20" i="4"/>
  <c r="BP20" i="4"/>
  <c r="BH20" i="4"/>
  <c r="BD20" i="4"/>
  <c r="AV20" i="4"/>
  <c r="AU20" i="4"/>
  <c r="AR20" i="4"/>
  <c r="AJ20" i="4"/>
  <c r="AI20" i="4"/>
  <c r="AF20" i="4"/>
  <c r="AD20" i="4"/>
  <c r="AC20" i="4"/>
  <c r="Z20" i="4"/>
  <c r="R20" i="4"/>
  <c r="S20" i="4" s="1"/>
  <c r="N20" i="4"/>
  <c r="O20" i="4" s="1"/>
  <c r="CK19" i="4"/>
  <c r="CJ19" i="4"/>
  <c r="CF19" i="4"/>
  <c r="CB19" i="4"/>
  <c r="BZ19" i="4"/>
  <c r="BY19" i="4"/>
  <c r="BV19" i="4"/>
  <c r="BT19" i="4"/>
  <c r="BS19" i="4"/>
  <c r="BP19" i="4"/>
  <c r="BH19" i="4"/>
  <c r="BD19" i="4"/>
  <c r="AV19" i="4"/>
  <c r="AU19" i="4"/>
  <c r="AR19" i="4"/>
  <c r="AJ19" i="4"/>
  <c r="AI19" i="4"/>
  <c r="AF19" i="4"/>
  <c r="AD19" i="4"/>
  <c r="AC19" i="4"/>
  <c r="Z19" i="4"/>
  <c r="R19" i="4"/>
  <c r="S19" i="4" s="1"/>
  <c r="N19" i="4"/>
  <c r="O19" i="4" s="1"/>
  <c r="CK18" i="4"/>
  <c r="CJ18" i="4"/>
  <c r="CF18" i="4"/>
  <c r="CB18" i="4"/>
  <c r="BZ18" i="4"/>
  <c r="BY18" i="4"/>
  <c r="BV18" i="4"/>
  <c r="BT18" i="4"/>
  <c r="BS18" i="4"/>
  <c r="BP18" i="4"/>
  <c r="BH18" i="4"/>
  <c r="BD18" i="4"/>
  <c r="AV18" i="4"/>
  <c r="AU18" i="4"/>
  <c r="AR18" i="4"/>
  <c r="AJ18" i="4"/>
  <c r="AI18" i="4"/>
  <c r="AF18" i="4"/>
  <c r="AD18" i="4"/>
  <c r="AC18" i="4"/>
  <c r="Z18" i="4"/>
  <c r="R18" i="4"/>
  <c r="S18" i="4" s="1"/>
  <c r="N18" i="4"/>
  <c r="O18" i="4" s="1"/>
  <c r="CK17" i="4"/>
  <c r="CJ17" i="4"/>
  <c r="CF17" i="4"/>
  <c r="CB17" i="4"/>
  <c r="BZ17" i="4"/>
  <c r="BY17" i="4"/>
  <c r="BV17" i="4"/>
  <c r="BT17" i="4"/>
  <c r="BS17" i="4"/>
  <c r="BP17" i="4"/>
  <c r="BH17" i="4"/>
  <c r="BD17" i="4"/>
  <c r="AV17" i="4"/>
  <c r="AU17" i="4"/>
  <c r="AR17" i="4"/>
  <c r="AJ17" i="4"/>
  <c r="AI17" i="4"/>
  <c r="AF17" i="4"/>
  <c r="AD17" i="4"/>
  <c r="AC17" i="4"/>
  <c r="Z17" i="4"/>
  <c r="R17" i="4"/>
  <c r="S17" i="4" s="1"/>
  <c r="N17" i="4"/>
  <c r="O17" i="4" s="1"/>
  <c r="CK16" i="4"/>
  <c r="CJ16" i="4"/>
  <c r="CF16" i="4"/>
  <c r="CB16" i="4"/>
  <c r="BZ16" i="4"/>
  <c r="BY16" i="4"/>
  <c r="BV16" i="4"/>
  <c r="BT16" i="4"/>
  <c r="BS16" i="4"/>
  <c r="BP16" i="4"/>
  <c r="BH16" i="4"/>
  <c r="BD16" i="4"/>
  <c r="AV16" i="4"/>
  <c r="AU16" i="4"/>
  <c r="AR16" i="4"/>
  <c r="AJ16" i="4"/>
  <c r="AI16" i="4"/>
  <c r="AF16" i="4"/>
  <c r="AD16" i="4"/>
  <c r="AC16" i="4"/>
  <c r="R16" i="4"/>
  <c r="S16" i="4" s="1"/>
  <c r="N16" i="4"/>
  <c r="O16" i="4" s="1"/>
  <c r="CK15" i="4"/>
  <c r="CJ15" i="4"/>
  <c r="CF15" i="4"/>
  <c r="CB15" i="4"/>
  <c r="BZ15" i="4"/>
  <c r="BY15" i="4"/>
  <c r="BV15" i="4"/>
  <c r="BT15" i="4"/>
  <c r="BS15" i="4"/>
  <c r="BP15" i="4"/>
  <c r="BH15" i="4"/>
  <c r="BD15" i="4"/>
  <c r="AV15" i="4"/>
  <c r="AU15" i="4"/>
  <c r="AR15" i="4"/>
  <c r="AJ15" i="4"/>
  <c r="AI15" i="4"/>
  <c r="AF15" i="4"/>
  <c r="AD15" i="4"/>
  <c r="AC15" i="4"/>
  <c r="R15" i="4"/>
  <c r="S15" i="4" s="1"/>
  <c r="N15" i="4"/>
  <c r="O15" i="4" s="1"/>
  <c r="CK14" i="4"/>
  <c r="CJ14" i="4"/>
  <c r="CF14" i="4"/>
  <c r="CB14" i="4"/>
  <c r="BZ14" i="4"/>
  <c r="BY14" i="4"/>
  <c r="BV14" i="4"/>
  <c r="BT14" i="4"/>
  <c r="BS14" i="4"/>
  <c r="BP14" i="4"/>
  <c r="BH14" i="4"/>
  <c r="BD14" i="4"/>
  <c r="AV14" i="4"/>
  <c r="AU14" i="4"/>
  <c r="AR14" i="4"/>
  <c r="AJ14" i="4"/>
  <c r="AI14" i="4"/>
  <c r="AF14" i="4"/>
  <c r="AD14" i="4"/>
  <c r="AC14" i="4"/>
  <c r="Z14" i="4"/>
  <c r="R14" i="4"/>
  <c r="S14" i="4" s="1"/>
  <c r="N14" i="4"/>
  <c r="O14" i="4" s="1"/>
  <c r="CK13" i="4"/>
  <c r="CJ13" i="4"/>
  <c r="CF13" i="4"/>
  <c r="CB13" i="4"/>
  <c r="BZ13" i="4"/>
  <c r="BY13" i="4"/>
  <c r="BV13" i="4"/>
  <c r="BT13" i="4"/>
  <c r="BS13" i="4"/>
  <c r="BP13" i="4"/>
  <c r="BH13" i="4"/>
  <c r="BD13" i="4"/>
  <c r="AV13" i="4"/>
  <c r="AU13" i="4"/>
  <c r="AR13" i="4"/>
  <c r="AJ13" i="4"/>
  <c r="AI13" i="4"/>
  <c r="AF13" i="4"/>
  <c r="AD13" i="4"/>
  <c r="AC13" i="4"/>
  <c r="R13" i="4"/>
  <c r="S13" i="4" s="1"/>
  <c r="N13" i="4"/>
  <c r="O13" i="4" s="1"/>
  <c r="CK12" i="4"/>
  <c r="CJ12" i="4"/>
  <c r="CF12" i="4"/>
  <c r="CB12" i="4"/>
  <c r="BZ12" i="4"/>
  <c r="BY12" i="4"/>
  <c r="BV12" i="4"/>
  <c r="BT12" i="4"/>
  <c r="BS12" i="4"/>
  <c r="BP12" i="4"/>
  <c r="BH12" i="4"/>
  <c r="BD12" i="4"/>
  <c r="AV12" i="4"/>
  <c r="AU12" i="4"/>
  <c r="AR12" i="4"/>
  <c r="AJ12" i="4"/>
  <c r="AI12" i="4"/>
  <c r="AF12" i="4"/>
  <c r="AD12" i="4"/>
  <c r="AC12" i="4"/>
  <c r="Z12" i="4"/>
  <c r="R12" i="4"/>
  <c r="S12" i="4" s="1"/>
  <c r="N12" i="4"/>
  <c r="O12" i="4" s="1"/>
  <c r="CK11" i="4"/>
  <c r="CJ11" i="4"/>
  <c r="CF11" i="4"/>
  <c r="CB11" i="4"/>
  <c r="BZ11" i="4"/>
  <c r="BY11" i="4"/>
  <c r="BV11" i="4"/>
  <c r="BT11" i="4"/>
  <c r="BS11" i="4"/>
  <c r="BP11" i="4"/>
  <c r="BH11" i="4"/>
  <c r="BD11" i="4"/>
  <c r="AV11" i="4"/>
  <c r="AU11" i="4"/>
  <c r="AR11" i="4"/>
  <c r="AJ11" i="4"/>
  <c r="AI11" i="4"/>
  <c r="AF11" i="4"/>
  <c r="AD11" i="4"/>
  <c r="AC11" i="4"/>
  <c r="Z11" i="4"/>
  <c r="R11" i="4"/>
  <c r="S11" i="4" s="1"/>
  <c r="N11" i="4"/>
  <c r="O11" i="4" s="1"/>
  <c r="CK10" i="4"/>
  <c r="CJ10" i="4"/>
  <c r="CF10" i="4"/>
  <c r="CG10" i="4" s="1"/>
  <c r="CB10" i="4"/>
  <c r="BZ10" i="4"/>
  <c r="BY10" i="4"/>
  <c r="BV10" i="4"/>
  <c r="BT10" i="4"/>
  <c r="BS10" i="4"/>
  <c r="BP10" i="4"/>
  <c r="BH10" i="4"/>
  <c r="BD10" i="4"/>
  <c r="AV10" i="4"/>
  <c r="AU10" i="4"/>
  <c r="AR10" i="4"/>
  <c r="AJ10" i="4"/>
  <c r="AI10" i="4"/>
  <c r="AF10" i="4"/>
  <c r="AD10" i="4"/>
  <c r="AC10" i="4"/>
  <c r="R10" i="4"/>
  <c r="S10" i="4" s="1"/>
  <c r="N10" i="4"/>
  <c r="O10" i="4" s="1"/>
  <c r="CK9" i="4"/>
  <c r="CJ9" i="4"/>
  <c r="CF9" i="4"/>
  <c r="CG9" i="4" s="1"/>
  <c r="CB9" i="4"/>
  <c r="BZ9" i="4"/>
  <c r="BY9" i="4"/>
  <c r="BV9" i="4"/>
  <c r="BT9" i="4"/>
  <c r="BS9" i="4"/>
  <c r="BP9" i="4"/>
  <c r="BH9" i="4"/>
  <c r="BD9" i="4"/>
  <c r="AV9" i="4"/>
  <c r="AU9" i="4"/>
  <c r="AR9" i="4"/>
  <c r="AJ9" i="4"/>
  <c r="AI9" i="4"/>
  <c r="AF9" i="4"/>
  <c r="AD9" i="4"/>
  <c r="AC9" i="4"/>
  <c r="Z9" i="4"/>
  <c r="R9" i="4"/>
  <c r="S9" i="4" s="1"/>
  <c r="N9" i="4"/>
  <c r="O9" i="4" s="1"/>
  <c r="CF8" i="4"/>
  <c r="CG8" i="4" s="1"/>
  <c r="CB8" i="4"/>
  <c r="BZ8" i="4"/>
  <c r="BV8" i="4"/>
  <c r="LL27" i="2" l="1"/>
  <c r="LL33" i="2"/>
  <c r="FL11" i="17"/>
  <c r="P11" i="17" s="1"/>
  <c r="E11" i="17" s="1"/>
  <c r="JJ13" i="2"/>
  <c r="FP11" i="17" s="1"/>
  <c r="T11" i="17" s="1"/>
  <c r="I11" i="17" s="1"/>
  <c r="FJ14" i="17"/>
  <c r="IR16" i="2"/>
  <c r="AK15" i="3"/>
  <c r="Q23" i="3"/>
  <c r="Q19" i="3"/>
  <c r="Q14" i="3"/>
  <c r="Q10" i="3"/>
  <c r="EB28" i="2"/>
  <c r="EB24" i="2"/>
  <c r="EB20" i="2"/>
  <c r="EB16" i="2"/>
  <c r="Q24" i="4"/>
  <c r="Q18" i="3"/>
  <c r="Q13" i="3"/>
  <c r="EB25" i="2"/>
  <c r="EB21" i="2"/>
  <c r="EB17" i="2"/>
  <c r="Q25" i="3"/>
  <c r="Q22" i="3"/>
  <c r="Q17" i="3"/>
  <c r="Q16" i="3"/>
  <c r="Q12" i="3"/>
  <c r="EB26" i="2"/>
  <c r="EB22" i="2"/>
  <c r="EB18" i="2"/>
  <c r="EB14" i="2"/>
  <c r="Q22" i="4"/>
  <c r="Q24" i="3"/>
  <c r="Q21" i="3"/>
  <c r="Q20" i="3"/>
  <c r="AC17" i="3"/>
  <c r="Q15" i="3"/>
  <c r="Q11" i="3"/>
  <c r="EB27" i="2"/>
  <c r="EB23" i="2"/>
  <c r="EB19" i="2"/>
  <c r="EB15" i="2"/>
  <c r="Q10" i="4"/>
  <c r="Q25" i="4"/>
  <c r="Q14" i="4"/>
  <c r="Q20" i="4"/>
  <c r="Q15" i="4"/>
  <c r="Q9" i="4"/>
  <c r="Q12" i="4"/>
  <c r="Q16" i="4"/>
  <c r="Q17" i="4"/>
  <c r="Q11" i="4"/>
  <c r="Q19" i="4"/>
  <c r="Q23" i="4"/>
  <c r="G9" i="4"/>
  <c r="Q13" i="4"/>
  <c r="Q21" i="4"/>
  <c r="G10" i="4"/>
  <c r="P26" i="17"/>
  <c r="E26" i="17" s="1"/>
  <c r="P24" i="17"/>
  <c r="E24" i="17" s="1"/>
  <c r="P22" i="17"/>
  <c r="E22" i="17" s="1"/>
  <c r="P20" i="17"/>
  <c r="E20" i="17" s="1"/>
  <c r="P18" i="17"/>
  <c r="E18" i="17" s="1"/>
  <c r="P16" i="17"/>
  <c r="E16" i="17" s="1"/>
  <c r="P14" i="17"/>
  <c r="E14" i="17" s="1"/>
  <c r="P12" i="17"/>
  <c r="E12" i="17" s="1"/>
  <c r="P25" i="17"/>
  <c r="E25" i="17" s="1"/>
  <c r="P23" i="17"/>
  <c r="E23" i="17" s="1"/>
  <c r="P21" i="17"/>
  <c r="E21" i="17" s="1"/>
  <c r="P19" i="17"/>
  <c r="E19" i="17" s="1"/>
  <c r="P15" i="17"/>
  <c r="P13" i="17"/>
  <c r="E13" i="17" s="1"/>
  <c r="P10" i="17"/>
  <c r="E10" i="17" s="1"/>
  <c r="FL27" i="17"/>
  <c r="P27" i="17" s="1"/>
  <c r="JJ29" i="2"/>
  <c r="FP27" i="17" s="1"/>
  <c r="T27" i="17" s="1"/>
  <c r="FL17" i="17"/>
  <c r="P17" i="17" s="1"/>
  <c r="E17" i="17" s="1"/>
  <c r="JJ19" i="2"/>
  <c r="FP17" i="17" s="1"/>
  <c r="T17" i="17" s="1"/>
  <c r="FJ19" i="17"/>
  <c r="IR21" i="2"/>
  <c r="FN19" i="17" s="1"/>
  <c r="Q18" i="4"/>
  <c r="AD28" i="17"/>
  <c r="CC9" i="4"/>
  <c r="CC18" i="4"/>
  <c r="CC19" i="4"/>
  <c r="CC20" i="4"/>
  <c r="CC21" i="4"/>
  <c r="CC22" i="4"/>
  <c r="CC23" i="4"/>
  <c r="CC24" i="4"/>
  <c r="CC25" i="4"/>
  <c r="AI13" i="3"/>
  <c r="K13" i="3"/>
  <c r="AI11" i="3"/>
  <c r="K28" i="3"/>
  <c r="Q29" i="3"/>
  <c r="MF12" i="2"/>
  <c r="MF28" i="2"/>
  <c r="MF24" i="2"/>
  <c r="MF20" i="2"/>
  <c r="MF16" i="2"/>
  <c r="CC8" i="4"/>
  <c r="AI8" i="3"/>
  <c r="K8" i="3"/>
  <c r="AI24" i="3"/>
  <c r="K24" i="3"/>
  <c r="AI22" i="3"/>
  <c r="K22" i="3"/>
  <c r="AI20" i="3"/>
  <c r="K20" i="3"/>
  <c r="AI18" i="3"/>
  <c r="K18" i="3"/>
  <c r="AI16" i="3"/>
  <c r="K16" i="3"/>
  <c r="AI14" i="3"/>
  <c r="K11" i="3"/>
  <c r="AI9" i="3"/>
  <c r="K9" i="3"/>
  <c r="BC28" i="3"/>
  <c r="MF27" i="2"/>
  <c r="MF23" i="2"/>
  <c r="MF19" i="2"/>
  <c r="MF15" i="2"/>
  <c r="K14" i="3"/>
  <c r="AI12" i="3"/>
  <c r="K12" i="3"/>
  <c r="Q28" i="3"/>
  <c r="K29" i="3"/>
  <c r="MF26" i="2"/>
  <c r="MF22" i="2"/>
  <c r="MF18" i="2"/>
  <c r="MF14" i="2"/>
  <c r="CC16" i="4"/>
  <c r="CC17" i="4"/>
  <c r="AI25" i="3"/>
  <c r="K25" i="3"/>
  <c r="AI23" i="3"/>
  <c r="K23" i="3"/>
  <c r="AI21" i="3"/>
  <c r="K21" i="3"/>
  <c r="AI19" i="3"/>
  <c r="K19" i="3"/>
  <c r="AI17" i="3"/>
  <c r="K17" i="3"/>
  <c r="AI15" i="3"/>
  <c r="K15" i="3"/>
  <c r="AI10" i="3"/>
  <c r="K10" i="3"/>
  <c r="Q9" i="3"/>
  <c r="BC29" i="3"/>
  <c r="MF29" i="2"/>
  <c r="MF25" i="2"/>
  <c r="MF21" i="2"/>
  <c r="MF17" i="2"/>
  <c r="MF13" i="2"/>
  <c r="EB13" i="2"/>
  <c r="CC11" i="4"/>
  <c r="CC13" i="4"/>
  <c r="CC10" i="4"/>
  <c r="CC14" i="4"/>
  <c r="CC12" i="4"/>
  <c r="CC15" i="4"/>
  <c r="CG11" i="4"/>
  <c r="G11" i="4" s="1"/>
  <c r="CG12" i="4"/>
  <c r="G12" i="4" s="1"/>
  <c r="CG13" i="4"/>
  <c r="G13" i="4" s="1"/>
  <c r="CG14" i="4"/>
  <c r="G14" i="4" s="1"/>
  <c r="CG15" i="4"/>
  <c r="G15" i="4" s="1"/>
  <c r="CG16" i="4"/>
  <c r="G16" i="4" s="1"/>
  <c r="CG17" i="4"/>
  <c r="G17" i="4" s="1"/>
  <c r="CG18" i="4"/>
  <c r="G18" i="4" s="1"/>
  <c r="CG19" i="4"/>
  <c r="G19" i="4" s="1"/>
  <c r="CG20" i="4"/>
  <c r="G20" i="4" s="1"/>
  <c r="CG21" i="4"/>
  <c r="G21" i="4" s="1"/>
  <c r="CG22" i="4"/>
  <c r="G22" i="4" s="1"/>
  <c r="CG23" i="4"/>
  <c r="G23" i="4" s="1"/>
  <c r="CG24" i="4"/>
  <c r="G24" i="4" s="1"/>
  <c r="CG25" i="4"/>
  <c r="G25" i="4" s="1"/>
  <c r="HX28" i="17"/>
  <c r="HX35" i="17" s="1"/>
  <c r="E15" i="17"/>
  <c r="GB28" i="17"/>
  <c r="GB35" i="17" s="1"/>
  <c r="FZ28" i="17"/>
  <c r="E373" i="8"/>
  <c r="G372" i="8"/>
  <c r="H372" i="8"/>
  <c r="E376" i="8"/>
  <c r="G375" i="8"/>
  <c r="I375" i="8" s="1"/>
  <c r="H375" i="8"/>
  <c r="F33" i="6"/>
  <c r="PU30" i="2"/>
  <c r="PU34" i="2"/>
  <c r="B9" i="4"/>
  <c r="B28" i="3"/>
  <c r="F10" i="4"/>
  <c r="B11" i="4"/>
  <c r="F14" i="4"/>
  <c r="F18" i="4"/>
  <c r="B19" i="4"/>
  <c r="F22" i="4"/>
  <c r="F9" i="4"/>
  <c r="F13" i="4"/>
  <c r="B14" i="4"/>
  <c r="F17" i="4"/>
  <c r="F21" i="4"/>
  <c r="B22" i="4"/>
  <c r="F25" i="4"/>
  <c r="F12" i="4"/>
  <c r="F16" i="4"/>
  <c r="B17" i="4"/>
  <c r="F20" i="4"/>
  <c r="B21" i="4"/>
  <c r="F24" i="4"/>
  <c r="B25" i="4"/>
  <c r="F11" i="4"/>
  <c r="B12" i="4"/>
  <c r="F15" i="4"/>
  <c r="F19" i="4"/>
  <c r="B20" i="4"/>
  <c r="F23" i="4"/>
  <c r="B24" i="4"/>
  <c r="G289" i="8"/>
  <c r="I289" i="8" s="1"/>
  <c r="H289" i="8"/>
  <c r="LE28" i="2"/>
  <c r="LE26" i="2"/>
  <c r="LE24" i="2"/>
  <c r="LE22" i="2"/>
  <c r="NK29" i="2"/>
  <c r="NK28" i="2"/>
  <c r="NK27" i="2"/>
  <c r="NK26" i="2"/>
  <c r="NK25" i="2"/>
  <c r="NK24" i="2"/>
  <c r="NK23" i="2"/>
  <c r="NK22" i="2"/>
  <c r="NK21" i="2"/>
  <c r="NK20" i="2"/>
  <c r="NK19" i="2"/>
  <c r="NK18" i="2"/>
  <c r="NK17" i="2"/>
  <c r="NK16" i="2"/>
  <c r="NK15" i="2"/>
  <c r="NK14" i="2"/>
  <c r="NK13" i="2"/>
  <c r="MU29" i="2"/>
  <c r="MU28" i="2"/>
  <c r="MU27" i="2"/>
  <c r="MU26" i="2"/>
  <c r="MU25" i="2"/>
  <c r="MU24" i="2"/>
  <c r="MU23" i="2"/>
  <c r="MU22" i="2"/>
  <c r="MU21" i="2"/>
  <c r="MU20" i="2"/>
  <c r="MU19" i="2"/>
  <c r="MU18" i="2"/>
  <c r="MU17" i="2"/>
  <c r="MU16" i="2"/>
  <c r="MU15" i="2"/>
  <c r="MU14" i="2"/>
  <c r="MU13" i="2"/>
  <c r="MM29" i="2"/>
  <c r="MM28" i="2"/>
  <c r="MM27" i="2"/>
  <c r="MM26" i="2"/>
  <c r="MM25" i="2"/>
  <c r="MM24" i="2"/>
  <c r="MM23" i="2"/>
  <c r="MM22" i="2"/>
  <c r="MM21" i="2"/>
  <c r="MM20" i="2"/>
  <c r="MM19" i="2"/>
  <c r="MM18" i="2"/>
  <c r="MM17" i="2"/>
  <c r="MM16" i="2"/>
  <c r="MM15" i="2"/>
  <c r="MM14" i="2"/>
  <c r="MM13" i="2"/>
  <c r="MU12" i="2"/>
  <c r="NK12" i="2"/>
  <c r="MM12" i="2"/>
  <c r="MM33" i="2"/>
  <c r="LE20" i="2"/>
  <c r="LE32" i="2"/>
  <c r="LE27" i="2"/>
  <c r="LE25" i="2"/>
  <c r="LE23" i="2"/>
  <c r="LE21" i="2"/>
  <c r="LE19" i="2"/>
  <c r="LE17" i="2"/>
  <c r="LE15" i="2"/>
  <c r="LE18" i="2"/>
  <c r="LE16" i="2"/>
  <c r="LE14" i="2"/>
  <c r="LE29" i="2"/>
  <c r="LE13" i="2"/>
  <c r="LE12" i="2"/>
  <c r="LE33" i="2"/>
  <c r="LQ12" i="2"/>
  <c r="LQ32" i="2"/>
  <c r="LQ33" i="2"/>
  <c r="LQ29" i="2"/>
  <c r="LQ28" i="2"/>
  <c r="LQ27" i="2"/>
  <c r="LQ26" i="2"/>
  <c r="LQ25" i="2"/>
  <c r="LQ24" i="2"/>
  <c r="LQ23" i="2"/>
  <c r="LQ22" i="2"/>
  <c r="LQ21" i="2"/>
  <c r="LQ20" i="2"/>
  <c r="LQ19" i="2"/>
  <c r="LQ18" i="2"/>
  <c r="LQ17" i="2"/>
  <c r="LQ16" i="2"/>
  <c r="LQ15" i="2"/>
  <c r="LQ14" i="2"/>
  <c r="LQ13" i="2"/>
  <c r="AK34" i="2"/>
  <c r="BK30" i="2"/>
  <c r="BK37" i="2" s="1"/>
  <c r="AK30" i="2"/>
  <c r="CA28" i="2"/>
  <c r="CA26" i="2"/>
  <c r="CA24" i="2"/>
  <c r="CA20" i="2"/>
  <c r="CA18" i="2"/>
  <c r="CA16" i="2"/>
  <c r="BS29" i="2"/>
  <c r="BS27" i="2"/>
  <c r="BS25" i="2"/>
  <c r="BS21" i="2"/>
  <c r="BS19" i="2"/>
  <c r="BS17" i="2"/>
  <c r="BS15" i="2"/>
  <c r="BS13" i="2"/>
  <c r="BS12" i="2"/>
  <c r="BS33" i="2"/>
  <c r="CA29" i="2"/>
  <c r="CA25" i="2"/>
  <c r="CA23" i="2"/>
  <c r="CA21" i="2"/>
  <c r="CA19" i="2"/>
  <c r="CA17" i="2"/>
  <c r="CA15" i="2"/>
  <c r="CA13" i="2"/>
  <c r="BS28" i="2"/>
  <c r="BS26" i="2"/>
  <c r="BS24" i="2"/>
  <c r="BS22" i="2"/>
  <c r="BS20" i="2"/>
  <c r="BS18" i="2"/>
  <c r="BS16" i="2"/>
  <c r="BS14" i="2"/>
  <c r="CA12" i="2"/>
  <c r="BS32" i="2"/>
  <c r="P10" i="4"/>
  <c r="AT10" i="4"/>
  <c r="BF18" i="4"/>
  <c r="BX16" i="4"/>
  <c r="AH19" i="4"/>
  <c r="CD19" i="4"/>
  <c r="BF20" i="4"/>
  <c r="BF21" i="4"/>
  <c r="CD22" i="4"/>
  <c r="P25" i="4"/>
  <c r="BX15" i="4"/>
  <c r="AB24" i="4"/>
  <c r="P9" i="4"/>
  <c r="AT9" i="4"/>
  <c r="BF9" i="4"/>
  <c r="P11" i="4"/>
  <c r="AT11" i="4"/>
  <c r="CD16" i="4"/>
  <c r="AB17" i="4"/>
  <c r="AH20" i="4"/>
  <c r="CD20" i="4"/>
  <c r="AH21" i="4"/>
  <c r="P12" i="4"/>
  <c r="AT12" i="4"/>
  <c r="BX14" i="4"/>
  <c r="AB18" i="4"/>
  <c r="CD10" i="4"/>
  <c r="AH11" i="4"/>
  <c r="CD11" i="4"/>
  <c r="BR14" i="4"/>
  <c r="BR22" i="4"/>
  <c r="AB19" i="4"/>
  <c r="BX19" i="4"/>
  <c r="BX22" i="4"/>
  <c r="P14" i="4"/>
  <c r="AT25" i="4"/>
  <c r="BF25" i="4"/>
  <c r="BX9" i="4"/>
  <c r="AH13" i="4"/>
  <c r="CD14" i="4"/>
  <c r="AH15" i="4"/>
  <c r="CD15" i="4"/>
  <c r="P16" i="4"/>
  <c r="AT16" i="4"/>
  <c r="P20" i="4"/>
  <c r="AT20" i="4"/>
  <c r="P21" i="4"/>
  <c r="AT21" i="4"/>
  <c r="P22" i="4"/>
  <c r="AT22" i="4"/>
  <c r="P23" i="4"/>
  <c r="AT23" i="4"/>
  <c r="BX12" i="4"/>
  <c r="AT14" i="4"/>
  <c r="P15" i="4"/>
  <c r="AT15" i="4"/>
  <c r="BR16" i="4"/>
  <c r="CD18" i="4"/>
  <c r="CD24" i="4"/>
  <c r="AH25" i="4"/>
  <c r="BX25" i="4"/>
  <c r="BF13" i="4"/>
  <c r="BX13" i="4"/>
  <c r="BF15" i="4"/>
  <c r="AH22" i="4"/>
  <c r="BR10" i="4"/>
  <c r="AH14" i="4"/>
  <c r="BF16" i="4"/>
  <c r="BF17" i="4"/>
  <c r="BX17" i="4"/>
  <c r="AH18" i="4"/>
  <c r="BF24" i="4"/>
  <c r="BX10" i="4"/>
  <c r="AB11" i="4"/>
  <c r="BF11" i="4"/>
  <c r="AH16" i="4"/>
  <c r="AH17" i="4"/>
  <c r="BX18" i="4"/>
  <c r="P19" i="4"/>
  <c r="AT19" i="4"/>
  <c r="BR20" i="4"/>
  <c r="BF23" i="4"/>
  <c r="AH10" i="4"/>
  <c r="P13" i="4"/>
  <c r="AT13" i="4"/>
  <c r="P17" i="4"/>
  <c r="AT17" i="4"/>
  <c r="BX20" i="4"/>
  <c r="AB21" i="4"/>
  <c r="BX21" i="4"/>
  <c r="AH23" i="4"/>
  <c r="CD23" i="4"/>
  <c r="CD12" i="4"/>
  <c r="BF14" i="4"/>
  <c r="AH9" i="4"/>
  <c r="BF10" i="4"/>
  <c r="BX11" i="4"/>
  <c r="AH12" i="4"/>
  <c r="BR12" i="4"/>
  <c r="BR13" i="4"/>
  <c r="AB14" i="4"/>
  <c r="P18" i="4"/>
  <c r="AT18" i="4"/>
  <c r="BR23" i="4"/>
  <c r="BR21" i="4"/>
  <c r="AB22" i="4"/>
  <c r="BF22" i="4"/>
  <c r="BX23" i="4"/>
  <c r="AH24" i="4"/>
  <c r="BR24" i="4"/>
  <c r="BR17" i="4"/>
  <c r="BR19" i="4"/>
  <c r="AB20" i="4"/>
  <c r="P24" i="4"/>
  <c r="AT24" i="4"/>
  <c r="BX24" i="4"/>
  <c r="AB25" i="4"/>
  <c r="BR25" i="4"/>
  <c r="AB9" i="4"/>
  <c r="BR9" i="4"/>
  <c r="BR11" i="4"/>
  <c r="AB12" i="4"/>
  <c r="BF12" i="4"/>
  <c r="BR15" i="4"/>
  <c r="BR18" i="4"/>
  <c r="BF19" i="4"/>
  <c r="CD9" i="4"/>
  <c r="CD13" i="4"/>
  <c r="CD17" i="4"/>
  <c r="CD21" i="4"/>
  <c r="CD25" i="4"/>
  <c r="LK27" i="2" l="1"/>
  <c r="LK30" i="2" s="1"/>
  <c r="LK33" i="2"/>
  <c r="LK34" i="2" s="1"/>
  <c r="FJ28" i="17"/>
  <c r="FN14" i="17"/>
  <c r="FN28" i="17" s="1"/>
  <c r="CE11" i="4"/>
  <c r="E11" i="4" s="1"/>
  <c r="CE20" i="4"/>
  <c r="E20" i="4" s="1"/>
  <c r="C18" i="4"/>
  <c r="E27" i="17"/>
  <c r="E28" i="17" s="1"/>
  <c r="E35" i="17" s="1"/>
  <c r="I27" i="17"/>
  <c r="FL28" i="17"/>
  <c r="FL35" i="17" s="1"/>
  <c r="CE19" i="4"/>
  <c r="E19" i="4" s="1"/>
  <c r="CE23" i="4"/>
  <c r="E23" i="4" s="1"/>
  <c r="FP28" i="17"/>
  <c r="FP35" i="17" s="1"/>
  <c r="CE12" i="4"/>
  <c r="E12" i="4" s="1"/>
  <c r="C29" i="3"/>
  <c r="CE9" i="4"/>
  <c r="E9" i="4" s="1"/>
  <c r="CE16" i="4"/>
  <c r="E16" i="4" s="1"/>
  <c r="CE13" i="4"/>
  <c r="E13" i="4" s="1"/>
  <c r="CE25" i="4"/>
  <c r="E25" i="4" s="1"/>
  <c r="CE21" i="4"/>
  <c r="E21" i="4" s="1"/>
  <c r="CE24" i="4"/>
  <c r="E24" i="4" s="1"/>
  <c r="C28" i="3"/>
  <c r="CE14" i="4"/>
  <c r="E14" i="4" s="1"/>
  <c r="CE17" i="4"/>
  <c r="E17" i="4" s="1"/>
  <c r="CE15" i="4"/>
  <c r="E15" i="4" s="1"/>
  <c r="CE22" i="4"/>
  <c r="E22" i="4" s="1"/>
  <c r="C13" i="4"/>
  <c r="C15" i="4"/>
  <c r="C17" i="4"/>
  <c r="C14" i="4"/>
  <c r="C24" i="4"/>
  <c r="C22" i="4"/>
  <c r="C20" i="4"/>
  <c r="CE10" i="4"/>
  <c r="E10" i="4" s="1"/>
  <c r="C16" i="4"/>
  <c r="CE18" i="4"/>
  <c r="E18" i="4" s="1"/>
  <c r="C12" i="4"/>
  <c r="C11" i="4"/>
  <c r="C25" i="4"/>
  <c r="C23" i="4"/>
  <c r="C21" i="4"/>
  <c r="C19" i="4"/>
  <c r="C9" i="4"/>
  <c r="C10" i="4"/>
  <c r="E370" i="8"/>
  <c r="H370" i="8" s="1"/>
  <c r="P28" i="17"/>
  <c r="G369" i="8"/>
  <c r="I369" i="8" s="1"/>
  <c r="I372" i="8"/>
  <c r="G376" i="8"/>
  <c r="I376" i="8" s="1"/>
  <c r="H376" i="8"/>
  <c r="G373" i="8"/>
  <c r="H373" i="8"/>
  <c r="BA33" i="6"/>
  <c r="PU37" i="2"/>
  <c r="D12" i="4"/>
  <c r="D22" i="4"/>
  <c r="D19" i="4"/>
  <c r="D14" i="4"/>
  <c r="D11" i="4"/>
  <c r="D24" i="4"/>
  <c r="D25" i="4"/>
  <c r="D20" i="4"/>
  <c r="D17" i="4"/>
  <c r="D9" i="4"/>
  <c r="D21" i="4"/>
  <c r="BA29" i="6"/>
  <c r="MU30" i="2"/>
  <c r="NK30" i="2"/>
  <c r="MM30" i="2"/>
  <c r="AK37" i="2"/>
  <c r="LK37" i="2" l="1"/>
  <c r="I17" i="17"/>
  <c r="I28" i="17" s="1"/>
  <c r="I35" i="17" s="1"/>
  <c r="T28" i="17"/>
  <c r="T35" i="17" s="1"/>
  <c r="P35" i="17"/>
  <c r="I373" i="8"/>
  <c r="G370" i="8"/>
  <c r="I370" i="8" s="1"/>
  <c r="BA36" i="6"/>
  <c r="BT8" i="4"/>
  <c r="BP8" i="4"/>
  <c r="BH8" i="4"/>
  <c r="BD8" i="4"/>
  <c r="AV8" i="4"/>
  <c r="AR8" i="4"/>
  <c r="AJ8" i="4"/>
  <c r="AF8" i="4"/>
  <c r="AD8" i="4"/>
  <c r="Z8" i="4"/>
  <c r="R8" i="4"/>
  <c r="S8" i="4" s="1"/>
  <c r="G8" i="4" s="1"/>
  <c r="N8" i="4"/>
  <c r="RU33" i="2"/>
  <c r="RQ33" i="2"/>
  <c r="RO33" i="2"/>
  <c r="RM33" i="2"/>
  <c r="RK33" i="2"/>
  <c r="RI33" i="2"/>
  <c r="RU32" i="2"/>
  <c r="RS32" i="2"/>
  <c r="RQ32" i="2"/>
  <c r="RO32" i="2"/>
  <c r="RM32" i="2"/>
  <c r="RK32" i="2"/>
  <c r="RI32" i="2"/>
  <c r="RI13" i="2"/>
  <c r="RK13" i="2"/>
  <c r="RM13" i="2"/>
  <c r="RO13" i="2"/>
  <c r="RQ13" i="2"/>
  <c r="RS13" i="2"/>
  <c r="RU13" i="2"/>
  <c r="RI14" i="2"/>
  <c r="RK14" i="2"/>
  <c r="RM14" i="2"/>
  <c r="RO14" i="2"/>
  <c r="RQ14" i="2"/>
  <c r="RS14" i="2"/>
  <c r="RU14" i="2"/>
  <c r="RI15" i="2"/>
  <c r="RK15" i="2"/>
  <c r="RM15" i="2"/>
  <c r="RO15" i="2"/>
  <c r="RQ15" i="2"/>
  <c r="RS15" i="2"/>
  <c r="RU15" i="2"/>
  <c r="RI16" i="2"/>
  <c r="RK16" i="2"/>
  <c r="RM16" i="2"/>
  <c r="RO16" i="2"/>
  <c r="RQ16" i="2"/>
  <c r="RS16" i="2"/>
  <c r="RU16" i="2"/>
  <c r="RI17" i="2"/>
  <c r="RK17" i="2"/>
  <c r="RM17" i="2"/>
  <c r="RO17" i="2"/>
  <c r="RQ17" i="2"/>
  <c r="RS17" i="2"/>
  <c r="RU17" i="2"/>
  <c r="RI18" i="2"/>
  <c r="RK18" i="2"/>
  <c r="RM18" i="2"/>
  <c r="RO18" i="2"/>
  <c r="RQ18" i="2"/>
  <c r="RS18" i="2"/>
  <c r="RU18" i="2"/>
  <c r="RI19" i="2"/>
  <c r="RK19" i="2"/>
  <c r="RM19" i="2"/>
  <c r="RO19" i="2"/>
  <c r="RQ19" i="2"/>
  <c r="RS19" i="2"/>
  <c r="RU19" i="2"/>
  <c r="RI20" i="2"/>
  <c r="RK20" i="2"/>
  <c r="RM20" i="2"/>
  <c r="RO20" i="2"/>
  <c r="RQ20" i="2"/>
  <c r="RS20" i="2"/>
  <c r="RU20" i="2"/>
  <c r="RI21" i="2"/>
  <c r="RK21" i="2"/>
  <c r="RM21" i="2"/>
  <c r="RO21" i="2"/>
  <c r="RQ21" i="2"/>
  <c r="RS21" i="2"/>
  <c r="RU21" i="2"/>
  <c r="RI22" i="2"/>
  <c r="RK22" i="2"/>
  <c r="RM22" i="2"/>
  <c r="RO22" i="2"/>
  <c r="RQ22" i="2"/>
  <c r="RU22" i="2"/>
  <c r="RI23" i="2"/>
  <c r="RK23" i="2"/>
  <c r="RM23" i="2"/>
  <c r="RO23" i="2"/>
  <c r="RQ23" i="2"/>
  <c r="RS23" i="2"/>
  <c r="RU23" i="2"/>
  <c r="RI24" i="2"/>
  <c r="RK24" i="2"/>
  <c r="RM24" i="2"/>
  <c r="RO24" i="2"/>
  <c r="RQ24" i="2"/>
  <c r="RS24" i="2"/>
  <c r="RU24" i="2"/>
  <c r="RI25" i="2"/>
  <c r="RK25" i="2"/>
  <c r="RM25" i="2"/>
  <c r="RO25" i="2"/>
  <c r="RQ25" i="2"/>
  <c r="RS25" i="2"/>
  <c r="RU25" i="2"/>
  <c r="RI26" i="2"/>
  <c r="RK26" i="2"/>
  <c r="RM26" i="2"/>
  <c r="RO26" i="2"/>
  <c r="RQ26" i="2"/>
  <c r="RS26" i="2"/>
  <c r="RU26" i="2"/>
  <c r="RI27" i="2"/>
  <c r="RK27" i="2"/>
  <c r="RM27" i="2"/>
  <c r="RO27" i="2"/>
  <c r="RQ27" i="2"/>
  <c r="RS27" i="2"/>
  <c r="RU27" i="2"/>
  <c r="RI28" i="2"/>
  <c r="RK28" i="2"/>
  <c r="RM28" i="2"/>
  <c r="RO28" i="2"/>
  <c r="RQ28" i="2"/>
  <c r="RS28" i="2"/>
  <c r="RU28" i="2"/>
  <c r="RI29" i="2"/>
  <c r="RK29" i="2"/>
  <c r="RM29" i="2"/>
  <c r="RO29" i="2"/>
  <c r="RQ29" i="2"/>
  <c r="RS29" i="2"/>
  <c r="RU29" i="2"/>
  <c r="RI12" i="2"/>
  <c r="RK12" i="2"/>
  <c r="RM12" i="2"/>
  <c r="RO12" i="2"/>
  <c r="RQ12" i="2"/>
  <c r="RS12" i="2"/>
  <c r="RU12" i="2"/>
  <c r="RZ33" i="2"/>
  <c r="RZ32" i="2"/>
  <c r="RZ13" i="2"/>
  <c r="RZ14" i="2"/>
  <c r="RZ15" i="2"/>
  <c r="RZ16" i="2"/>
  <c r="RZ17" i="2"/>
  <c r="RZ18" i="2"/>
  <c r="RZ19" i="2"/>
  <c r="RZ20" i="2"/>
  <c r="RZ21" i="2"/>
  <c r="RZ22" i="2"/>
  <c r="RZ23" i="2"/>
  <c r="RZ24" i="2"/>
  <c r="RZ25" i="2"/>
  <c r="RZ26" i="2"/>
  <c r="RZ27" i="2"/>
  <c r="RZ28" i="2"/>
  <c r="RZ29" i="2"/>
  <c r="RZ12" i="2"/>
  <c r="VD33" i="2"/>
  <c r="VC33" i="2"/>
  <c r="VB33" i="2"/>
  <c r="VD32" i="2"/>
  <c r="VC32" i="2"/>
  <c r="VB32" i="2"/>
  <c r="VB13" i="2"/>
  <c r="VC13" i="2"/>
  <c r="VD13" i="2"/>
  <c r="VB14" i="2"/>
  <c r="VC14" i="2"/>
  <c r="VD14" i="2"/>
  <c r="VB15" i="2"/>
  <c r="VC15" i="2"/>
  <c r="VD15" i="2"/>
  <c r="VB16" i="2"/>
  <c r="VC16" i="2"/>
  <c r="VD16" i="2"/>
  <c r="VB17" i="2"/>
  <c r="VC17" i="2"/>
  <c r="VD17" i="2"/>
  <c r="VB18" i="2"/>
  <c r="VC18" i="2"/>
  <c r="VD18" i="2"/>
  <c r="VB19" i="2"/>
  <c r="VC19" i="2"/>
  <c r="VD19" i="2"/>
  <c r="VB20" i="2"/>
  <c r="VC20" i="2"/>
  <c r="VD20" i="2"/>
  <c r="VB21" i="2"/>
  <c r="VC21" i="2"/>
  <c r="VD21" i="2"/>
  <c r="VB22" i="2"/>
  <c r="VC22" i="2"/>
  <c r="VD22" i="2"/>
  <c r="VB23" i="2"/>
  <c r="VC23" i="2"/>
  <c r="VD23" i="2"/>
  <c r="VB24" i="2"/>
  <c r="VC24" i="2"/>
  <c r="VD24" i="2"/>
  <c r="VB25" i="2"/>
  <c r="VC25" i="2"/>
  <c r="VD25" i="2"/>
  <c r="VB26" i="2"/>
  <c r="VC26" i="2"/>
  <c r="VD26" i="2"/>
  <c r="VB27" i="2"/>
  <c r="VC27" i="2"/>
  <c r="VD27" i="2"/>
  <c r="VB28" i="2"/>
  <c r="VC28" i="2"/>
  <c r="VD28" i="2"/>
  <c r="VB29" i="2"/>
  <c r="VC29" i="2"/>
  <c r="VD29" i="2"/>
  <c r="VD12" i="2"/>
  <c r="VC12" i="2"/>
  <c r="VB12" i="2"/>
  <c r="TB32" i="2"/>
  <c r="TB13" i="2"/>
  <c r="TB14" i="2"/>
  <c r="TB15" i="2"/>
  <c r="TB16" i="2"/>
  <c r="TB17" i="2"/>
  <c r="TB18" i="2"/>
  <c r="TB19" i="2"/>
  <c r="TB20" i="2"/>
  <c r="TB21" i="2"/>
  <c r="TB22" i="2"/>
  <c r="TB23" i="2"/>
  <c r="TB24" i="2"/>
  <c r="TB25" i="2"/>
  <c r="TB26" i="2"/>
  <c r="TB27" i="2"/>
  <c r="TB28" i="2"/>
  <c r="TB29" i="2"/>
  <c r="TB12" i="2"/>
  <c r="TF13" i="2"/>
  <c r="TF14" i="2"/>
  <c r="TF15" i="2"/>
  <c r="TF16" i="2"/>
  <c r="TF17" i="2"/>
  <c r="TF18" i="2"/>
  <c r="TF19" i="2"/>
  <c r="TF20" i="2"/>
  <c r="TF21" i="2"/>
  <c r="TF22" i="2"/>
  <c r="TF23" i="2"/>
  <c r="TF24" i="2"/>
  <c r="TF25" i="2"/>
  <c r="TF26" i="2"/>
  <c r="TF27" i="2"/>
  <c r="TF28" i="2"/>
  <c r="TF29" i="2"/>
  <c r="TF12" i="2"/>
  <c r="V33" i="2"/>
  <c r="V32" i="2"/>
  <c r="V13" i="2"/>
  <c r="V14" i="2"/>
  <c r="V15" i="2"/>
  <c r="V16" i="2"/>
  <c r="V17" i="2"/>
  <c r="V18" i="2"/>
  <c r="V19" i="2"/>
  <c r="V20" i="2"/>
  <c r="V21" i="2"/>
  <c r="V22" i="2"/>
  <c r="V23" i="2"/>
  <c r="V24" i="2"/>
  <c r="V25" i="2"/>
  <c r="V26" i="2"/>
  <c r="V27" i="2"/>
  <c r="V28" i="2"/>
  <c r="V29" i="2"/>
  <c r="V12" i="2"/>
  <c r="AA19" i="2"/>
  <c r="AA20" i="2"/>
  <c r="AA21" i="2"/>
  <c r="AA23" i="2"/>
  <c r="AA28" i="2"/>
  <c r="AA12" i="2"/>
  <c r="AG13" i="2"/>
  <c r="AG14" i="2"/>
  <c r="AG15" i="2"/>
  <c r="AG16" i="2"/>
  <c r="AG17" i="2"/>
  <c r="AG18" i="2"/>
  <c r="AG19" i="2"/>
  <c r="AG20" i="2"/>
  <c r="AG21" i="2"/>
  <c r="AG22" i="2"/>
  <c r="AG23" i="2"/>
  <c r="AG24" i="2"/>
  <c r="AG25" i="2"/>
  <c r="AG26" i="2"/>
  <c r="AG27" i="2"/>
  <c r="AG28" i="2"/>
  <c r="AG29" i="2"/>
  <c r="AG12" i="2"/>
  <c r="O8" i="4" l="1"/>
  <c r="VA32" i="2"/>
  <c r="VA29" i="2"/>
  <c r="VA25" i="2"/>
  <c r="VA21" i="2"/>
  <c r="VA17" i="2"/>
  <c r="VA13" i="2"/>
  <c r="VA33" i="2"/>
  <c r="VA26" i="2"/>
  <c r="VA22" i="2"/>
  <c r="VA18" i="2"/>
  <c r="VA14" i="2"/>
  <c r="VA12" i="2"/>
  <c r="VA28" i="2"/>
  <c r="VA24" i="2"/>
  <c r="VA20" i="2"/>
  <c r="VA16" i="2"/>
  <c r="VA27" i="2"/>
  <c r="VA23" i="2"/>
  <c r="VA19" i="2"/>
  <c r="VA15" i="2"/>
  <c r="B8" i="4"/>
  <c r="F8" i="4"/>
  <c r="D410" i="8"/>
  <c r="D407" i="8"/>
  <c r="D404" i="8"/>
  <c r="D401" i="8"/>
  <c r="I221" i="8"/>
  <c r="H221" i="8"/>
  <c r="I220" i="8"/>
  <c r="H220" i="8"/>
  <c r="D218" i="8"/>
  <c r="I217" i="8"/>
  <c r="H217" i="8"/>
  <c r="I216" i="8"/>
  <c r="H216" i="8"/>
  <c r="W32" i="6"/>
  <c r="CK31" i="17" s="1"/>
  <c r="CL31" i="17" s="1"/>
  <c r="W31" i="6"/>
  <c r="CK30" i="17" s="1"/>
  <c r="W12" i="6"/>
  <c r="CK11" i="17" s="1"/>
  <c r="W13" i="6"/>
  <c r="CK12" i="17" s="1"/>
  <c r="W14" i="6"/>
  <c r="CK13" i="17" s="1"/>
  <c r="W15" i="6"/>
  <c r="CK14" i="17" s="1"/>
  <c r="W16" i="6"/>
  <c r="CK15" i="17" s="1"/>
  <c r="W17" i="6"/>
  <c r="CK16" i="17" s="1"/>
  <c r="W18" i="6"/>
  <c r="CK17" i="17" s="1"/>
  <c r="W19" i="6"/>
  <c r="CK18" i="17" s="1"/>
  <c r="W20" i="6"/>
  <c r="CK19" i="17" s="1"/>
  <c r="W21" i="6"/>
  <c r="CK20" i="17" s="1"/>
  <c r="W22" i="6"/>
  <c r="CK21" i="17" s="1"/>
  <c r="W23" i="6"/>
  <c r="CK22" i="17" s="1"/>
  <c r="W24" i="6"/>
  <c r="CK23" i="17" s="1"/>
  <c r="W25" i="6"/>
  <c r="CK24" i="17" s="1"/>
  <c r="W26" i="6"/>
  <c r="CK25" i="17" s="1"/>
  <c r="W27" i="6"/>
  <c r="CK26" i="17" s="1"/>
  <c r="W28" i="6"/>
  <c r="CK27" i="17" s="1"/>
  <c r="W11" i="6"/>
  <c r="CK10" i="17" s="1"/>
  <c r="EX34" i="2"/>
  <c r="EW34" i="2"/>
  <c r="EX30" i="2"/>
  <c r="EW30" i="2"/>
  <c r="V32" i="6"/>
  <c r="CG31" i="17" s="1"/>
  <c r="CH31" i="17" s="1"/>
  <c r="V31" i="6"/>
  <c r="CG30" i="17" s="1"/>
  <c r="V28" i="6"/>
  <c r="CG27" i="17" s="1"/>
  <c r="V27" i="6"/>
  <c r="CG26" i="17" s="1"/>
  <c r="V26" i="6"/>
  <c r="CG25" i="17" s="1"/>
  <c r="V25" i="6"/>
  <c r="CG24" i="17" s="1"/>
  <c r="V24" i="6"/>
  <c r="CG23" i="17" s="1"/>
  <c r="V23" i="6"/>
  <c r="CG22" i="17" s="1"/>
  <c r="V22" i="6"/>
  <c r="CG21" i="17" s="1"/>
  <c r="V21" i="6"/>
  <c r="CG20" i="17" s="1"/>
  <c r="V20" i="6"/>
  <c r="CG19" i="17" s="1"/>
  <c r="V19" i="6"/>
  <c r="CG18" i="17" s="1"/>
  <c r="V18" i="6"/>
  <c r="CG17" i="17" s="1"/>
  <c r="V17" i="6"/>
  <c r="CG16" i="17" s="1"/>
  <c r="V16" i="6"/>
  <c r="CG15" i="17" s="1"/>
  <c r="V15" i="6"/>
  <c r="CG14" i="17" s="1"/>
  <c r="V14" i="6"/>
  <c r="CG13" i="17" s="1"/>
  <c r="V13" i="6"/>
  <c r="CG12" i="17" s="1"/>
  <c r="V12" i="6"/>
  <c r="CG11" i="17" s="1"/>
  <c r="EV33" i="2"/>
  <c r="EV32" i="2"/>
  <c r="EV29" i="2"/>
  <c r="EV28" i="2"/>
  <c r="EV27" i="2"/>
  <c r="EV26" i="2"/>
  <c r="EV25" i="2"/>
  <c r="EV24" i="2"/>
  <c r="EV23" i="2"/>
  <c r="EV22" i="2"/>
  <c r="EV21" i="2"/>
  <c r="EV20" i="2"/>
  <c r="EV19" i="2"/>
  <c r="EV18" i="2"/>
  <c r="EV17" i="2"/>
  <c r="EV16" i="2"/>
  <c r="EV15" i="2"/>
  <c r="EV14" i="2"/>
  <c r="EV13" i="2"/>
  <c r="EV12" i="2"/>
  <c r="C8" i="4" l="1"/>
  <c r="CK32" i="17"/>
  <c r="CL30" i="17"/>
  <c r="CL32" i="17" s="1"/>
  <c r="CL35" i="17" s="1"/>
  <c r="CG32" i="17"/>
  <c r="CH30" i="17"/>
  <c r="CH32" i="17" s="1"/>
  <c r="CH35" i="17" s="1"/>
  <c r="CK28" i="17"/>
  <c r="CK35" i="17" s="1"/>
  <c r="EX37" i="2"/>
  <c r="ES20" i="2"/>
  <c r="ES24" i="2"/>
  <c r="ES28" i="2"/>
  <c r="ET30" i="2"/>
  <c r="ES26" i="2"/>
  <c r="ET34" i="2"/>
  <c r="EU30" i="2"/>
  <c r="EU34" i="2"/>
  <c r="ES22" i="2"/>
  <c r="ES19" i="2"/>
  <c r="ES23" i="2"/>
  <c r="ES27" i="2"/>
  <c r="EW37" i="2"/>
  <c r="ES14" i="2"/>
  <c r="V11" i="6"/>
  <c r="CG10" i="17" s="1"/>
  <c r="CG28" i="17" s="1"/>
  <c r="EV34" i="2"/>
  <c r="EV30" i="2"/>
  <c r="ES21" i="2"/>
  <c r="ES25" i="2"/>
  <c r="ES29" i="2"/>
  <c r="ES15" i="2"/>
  <c r="ES16" i="2"/>
  <c r="ES13" i="2"/>
  <c r="ES12" i="2"/>
  <c r="ES17" i="2"/>
  <c r="ES32" i="2"/>
  <c r="ES18" i="2"/>
  <c r="ES33" i="2"/>
  <c r="V33" i="6"/>
  <c r="J418" i="8"/>
  <c r="BO32" i="6"/>
  <c r="IO31" i="17" s="1"/>
  <c r="IP31" i="17" s="1"/>
  <c r="BO31" i="6"/>
  <c r="IO30" i="17" s="1"/>
  <c r="BO12" i="6"/>
  <c r="IO11" i="17" s="1"/>
  <c r="BO13" i="6"/>
  <c r="IO12" i="17" s="1"/>
  <c r="BO14" i="6"/>
  <c r="IO13" i="17" s="1"/>
  <c r="BO15" i="6"/>
  <c r="IO14" i="17" s="1"/>
  <c r="BO16" i="6"/>
  <c r="IO15" i="17" s="1"/>
  <c r="BO17" i="6"/>
  <c r="IO16" i="17" s="1"/>
  <c r="BO18" i="6"/>
  <c r="IO17" i="17" s="1"/>
  <c r="BO19" i="6"/>
  <c r="IO18" i="17" s="1"/>
  <c r="BO20" i="6"/>
  <c r="IO19" i="17" s="1"/>
  <c r="BO21" i="6"/>
  <c r="IO20" i="17" s="1"/>
  <c r="BO22" i="6"/>
  <c r="IO21" i="17" s="1"/>
  <c r="BO23" i="6"/>
  <c r="IO22" i="17" s="1"/>
  <c r="BO24" i="6"/>
  <c r="IO23" i="17" s="1"/>
  <c r="BO25" i="6"/>
  <c r="IO24" i="17" s="1"/>
  <c r="BO26" i="6"/>
  <c r="IO25" i="17" s="1"/>
  <c r="BO27" i="6"/>
  <c r="IO26" i="17" s="1"/>
  <c r="BO28" i="6"/>
  <c r="IO27" i="17" s="1"/>
  <c r="BO11" i="6"/>
  <c r="IO10" i="17" s="1"/>
  <c r="PQ33" i="2"/>
  <c r="BN32" i="6" s="1"/>
  <c r="IK31" i="17" s="1"/>
  <c r="IL31" i="17" s="1"/>
  <c r="PP33" i="2"/>
  <c r="PQ32" i="2"/>
  <c r="BN31" i="6" s="1"/>
  <c r="IK30" i="17" s="1"/>
  <c r="PP32" i="2"/>
  <c r="PP13" i="2"/>
  <c r="PQ13" i="2"/>
  <c r="PP14" i="2"/>
  <c r="PQ14" i="2"/>
  <c r="BN13" i="6" s="1"/>
  <c r="IK12" i="17" s="1"/>
  <c r="PP15" i="2"/>
  <c r="PQ15" i="2"/>
  <c r="PP16" i="2"/>
  <c r="PQ16" i="2"/>
  <c r="BN15" i="6" s="1"/>
  <c r="IK14" i="17" s="1"/>
  <c r="PP17" i="2"/>
  <c r="PQ17" i="2"/>
  <c r="PP18" i="2"/>
  <c r="PQ18" i="2"/>
  <c r="PP19" i="2"/>
  <c r="PQ19" i="2"/>
  <c r="PP20" i="2"/>
  <c r="PQ20" i="2"/>
  <c r="BN19" i="6" s="1"/>
  <c r="IK18" i="17" s="1"/>
  <c r="PP21" i="2"/>
  <c r="PQ21" i="2"/>
  <c r="BN20" i="6" s="1"/>
  <c r="IK19" i="17" s="1"/>
  <c r="PP22" i="2"/>
  <c r="PQ22" i="2"/>
  <c r="BN21" i="6" s="1"/>
  <c r="IK20" i="17" s="1"/>
  <c r="PP23" i="2"/>
  <c r="PQ23" i="2"/>
  <c r="PP24" i="2"/>
  <c r="PQ24" i="2"/>
  <c r="BN23" i="6" s="1"/>
  <c r="IK22" i="17" s="1"/>
  <c r="PP25" i="2"/>
  <c r="PQ25" i="2"/>
  <c r="BN24" i="6" s="1"/>
  <c r="IK23" i="17" s="1"/>
  <c r="PP26" i="2"/>
  <c r="PQ26" i="2"/>
  <c r="BN25" i="6" s="1"/>
  <c r="IK24" i="17" s="1"/>
  <c r="PP27" i="2"/>
  <c r="PQ27" i="2"/>
  <c r="PP28" i="2"/>
  <c r="PQ28" i="2"/>
  <c r="BN27" i="6" s="1"/>
  <c r="IK26" i="17" s="1"/>
  <c r="PP29" i="2"/>
  <c r="PQ29" i="2"/>
  <c r="BN28" i="6" s="1"/>
  <c r="IK27" i="17" s="1"/>
  <c r="PQ12" i="2"/>
  <c r="BN11" i="6" s="1"/>
  <c r="IK10" i="17" s="1"/>
  <c r="PP12" i="2"/>
  <c r="PT34" i="2"/>
  <c r="PS34" i="2"/>
  <c r="PR33" i="2"/>
  <c r="PR32" i="2"/>
  <c r="PT30" i="2"/>
  <c r="PS30" i="2"/>
  <c r="PR29" i="2"/>
  <c r="PR28" i="2"/>
  <c r="PR27" i="2"/>
  <c r="PR26" i="2"/>
  <c r="PR25" i="2"/>
  <c r="PR24" i="2"/>
  <c r="PR23" i="2"/>
  <c r="PR22" i="2"/>
  <c r="PR21" i="2"/>
  <c r="PR20" i="2"/>
  <c r="PR19" i="2"/>
  <c r="PR18" i="2"/>
  <c r="PR17" i="2"/>
  <c r="PR16" i="2"/>
  <c r="PR15" i="2"/>
  <c r="PR14" i="2"/>
  <c r="PR13" i="2"/>
  <c r="PR12" i="2"/>
  <c r="J394" i="8"/>
  <c r="Y32" i="6"/>
  <c r="CS31" i="17" s="1"/>
  <c r="Y31" i="6"/>
  <c r="CS30" i="17" s="1"/>
  <c r="CT30" i="17" s="1"/>
  <c r="Y12" i="6"/>
  <c r="CS11" i="17" s="1"/>
  <c r="CT11" i="17" s="1"/>
  <c r="Y13" i="6"/>
  <c r="CS12" i="17" s="1"/>
  <c r="CT12" i="17" s="1"/>
  <c r="Y14" i="6"/>
  <c r="CS13" i="17" s="1"/>
  <c r="CT13" i="17" s="1"/>
  <c r="Y15" i="6"/>
  <c r="CS14" i="17" s="1"/>
  <c r="CT14" i="17" s="1"/>
  <c r="Y16" i="6"/>
  <c r="CS15" i="17" s="1"/>
  <c r="CT15" i="17" s="1"/>
  <c r="Y17" i="6"/>
  <c r="CS16" i="17" s="1"/>
  <c r="CT16" i="17" s="1"/>
  <c r="Y18" i="6"/>
  <c r="CS17" i="17" s="1"/>
  <c r="CT17" i="17" s="1"/>
  <c r="Y19" i="6"/>
  <c r="CS18" i="17" s="1"/>
  <c r="CT18" i="17" s="1"/>
  <c r="Y20" i="6"/>
  <c r="CS19" i="17" s="1"/>
  <c r="CT19" i="17" s="1"/>
  <c r="Y21" i="6"/>
  <c r="CS20" i="17" s="1"/>
  <c r="CT20" i="17" s="1"/>
  <c r="Y22" i="6"/>
  <c r="CS21" i="17" s="1"/>
  <c r="CT21" i="17" s="1"/>
  <c r="Y23" i="6"/>
  <c r="CS22" i="17" s="1"/>
  <c r="CT22" i="17" s="1"/>
  <c r="Y24" i="6"/>
  <c r="CS23" i="17" s="1"/>
  <c r="CT23" i="17" s="1"/>
  <c r="Y25" i="6"/>
  <c r="CS24" i="17" s="1"/>
  <c r="CT24" i="17" s="1"/>
  <c r="Y26" i="6"/>
  <c r="CS25" i="17" s="1"/>
  <c r="CT25" i="17" s="1"/>
  <c r="Y27" i="6"/>
  <c r="CS26" i="17" s="1"/>
  <c r="CT26" i="17" s="1"/>
  <c r="Y28" i="6"/>
  <c r="CS27" i="17" s="1"/>
  <c r="CT27" i="17" s="1"/>
  <c r="Y11" i="6"/>
  <c r="CS10" i="17" s="1"/>
  <c r="FA33" i="2"/>
  <c r="X32" i="6" s="1"/>
  <c r="CO31" i="17" s="1"/>
  <c r="CP31" i="17" s="1"/>
  <c r="EZ33" i="2"/>
  <c r="FA32" i="2"/>
  <c r="X31" i="6" s="1"/>
  <c r="CO30" i="17" s="1"/>
  <c r="CP30" i="17" s="1"/>
  <c r="EZ32" i="2"/>
  <c r="EZ13" i="2"/>
  <c r="FA13" i="2"/>
  <c r="X12" i="6" s="1"/>
  <c r="CO11" i="17" s="1"/>
  <c r="CP11" i="17" s="1"/>
  <c r="EZ14" i="2"/>
  <c r="FA14" i="2"/>
  <c r="X13" i="6" s="1"/>
  <c r="CO12" i="17" s="1"/>
  <c r="CP12" i="17" s="1"/>
  <c r="EZ15" i="2"/>
  <c r="FA15" i="2"/>
  <c r="X14" i="6" s="1"/>
  <c r="CO13" i="17" s="1"/>
  <c r="CP13" i="17" s="1"/>
  <c r="EZ16" i="2"/>
  <c r="FA16" i="2"/>
  <c r="X15" i="6" s="1"/>
  <c r="CO14" i="17" s="1"/>
  <c r="CP14" i="17" s="1"/>
  <c r="EZ17" i="2"/>
  <c r="FA17" i="2"/>
  <c r="X16" i="6" s="1"/>
  <c r="CO15" i="17" s="1"/>
  <c r="CP15" i="17" s="1"/>
  <c r="EZ18" i="2"/>
  <c r="FA18" i="2"/>
  <c r="X17" i="6" s="1"/>
  <c r="CO16" i="17" s="1"/>
  <c r="CP16" i="17" s="1"/>
  <c r="EZ19" i="2"/>
  <c r="FA19" i="2"/>
  <c r="X18" i="6" s="1"/>
  <c r="CO17" i="17" s="1"/>
  <c r="CP17" i="17" s="1"/>
  <c r="EZ20" i="2"/>
  <c r="FA20" i="2"/>
  <c r="X19" i="6" s="1"/>
  <c r="CO18" i="17" s="1"/>
  <c r="CP18" i="17" s="1"/>
  <c r="EZ21" i="2"/>
  <c r="FA21" i="2"/>
  <c r="X20" i="6" s="1"/>
  <c r="CO19" i="17" s="1"/>
  <c r="CP19" i="17" s="1"/>
  <c r="EZ22" i="2"/>
  <c r="FA22" i="2"/>
  <c r="X21" i="6" s="1"/>
  <c r="CO20" i="17" s="1"/>
  <c r="CP20" i="17" s="1"/>
  <c r="EZ23" i="2"/>
  <c r="FA23" i="2"/>
  <c r="X22" i="6" s="1"/>
  <c r="CO21" i="17" s="1"/>
  <c r="CP21" i="17" s="1"/>
  <c r="EZ24" i="2"/>
  <c r="FA24" i="2"/>
  <c r="X23" i="6" s="1"/>
  <c r="CO22" i="17" s="1"/>
  <c r="CP22" i="17" s="1"/>
  <c r="EZ25" i="2"/>
  <c r="FA25" i="2"/>
  <c r="X24" i="6" s="1"/>
  <c r="CO23" i="17" s="1"/>
  <c r="CP23" i="17" s="1"/>
  <c r="EZ26" i="2"/>
  <c r="FA26" i="2"/>
  <c r="X25" i="6" s="1"/>
  <c r="CO24" i="17" s="1"/>
  <c r="CP24" i="17" s="1"/>
  <c r="EZ27" i="2"/>
  <c r="FA27" i="2"/>
  <c r="X26" i="6" s="1"/>
  <c r="CO25" i="17" s="1"/>
  <c r="CP25" i="17" s="1"/>
  <c r="EZ28" i="2"/>
  <c r="FA28" i="2"/>
  <c r="X27" i="6" s="1"/>
  <c r="CO26" i="17" s="1"/>
  <c r="CP26" i="17" s="1"/>
  <c r="EZ29" i="2"/>
  <c r="FA29" i="2"/>
  <c r="X28" i="6" s="1"/>
  <c r="CO27" i="17" s="1"/>
  <c r="CP27" i="17" s="1"/>
  <c r="FA12" i="2"/>
  <c r="X11" i="6" s="1"/>
  <c r="CO10" i="17" s="1"/>
  <c r="CP10" i="17" s="1"/>
  <c r="EZ12" i="2"/>
  <c r="FD34" i="2"/>
  <c r="FC34" i="2"/>
  <c r="FB33" i="2"/>
  <c r="FB32" i="2"/>
  <c r="FD30" i="2"/>
  <c r="FD37" i="2" s="1"/>
  <c r="FC30" i="2"/>
  <c r="FC37" i="2" s="1"/>
  <c r="FB29" i="2"/>
  <c r="FB28" i="2"/>
  <c r="FB27" i="2"/>
  <c r="FB26" i="2"/>
  <c r="FB25" i="2"/>
  <c r="FB24" i="2"/>
  <c r="FB23" i="2"/>
  <c r="FB22" i="2"/>
  <c r="FB21" i="2"/>
  <c r="FB20" i="2"/>
  <c r="FB19" i="2"/>
  <c r="FB18" i="2"/>
  <c r="FB17" i="2"/>
  <c r="FB16" i="2"/>
  <c r="FB15" i="2"/>
  <c r="FB14" i="2"/>
  <c r="FB13" i="2"/>
  <c r="FB12" i="2"/>
  <c r="D271" i="8"/>
  <c r="H270" i="8"/>
  <c r="G270" i="8"/>
  <c r="I270" i="8" s="1"/>
  <c r="H269" i="8"/>
  <c r="G269" i="8"/>
  <c r="I269" i="8" s="1"/>
  <c r="D267" i="8"/>
  <c r="H266" i="8"/>
  <c r="G266" i="8"/>
  <c r="I266" i="8" s="1"/>
  <c r="H265" i="8"/>
  <c r="G265" i="8"/>
  <c r="I265" i="8" s="1"/>
  <c r="J264" i="8"/>
  <c r="G290" i="8"/>
  <c r="I290" i="8" s="1"/>
  <c r="D291" i="8"/>
  <c r="F291" i="8"/>
  <c r="F418" i="8" l="1"/>
  <c r="F419" i="8" s="1"/>
  <c r="EW42" i="2"/>
  <c r="F421" i="8"/>
  <c r="F422" i="8" s="1"/>
  <c r="EX42" i="2"/>
  <c r="C20" i="7"/>
  <c r="FD42" i="2"/>
  <c r="F264" i="8"/>
  <c r="F267" i="8" s="1"/>
  <c r="FC42" i="2"/>
  <c r="CG35" i="17"/>
  <c r="CG36" i="17" s="1"/>
  <c r="CK36" i="17"/>
  <c r="CS28" i="17"/>
  <c r="CT10" i="17"/>
  <c r="CT28" i="17" s="1"/>
  <c r="CP28" i="17"/>
  <c r="CS32" i="17"/>
  <c r="CT31" i="17"/>
  <c r="CT32" i="17" s="1"/>
  <c r="IP30" i="17"/>
  <c r="IP32" i="17" s="1"/>
  <c r="IP35" i="17" s="1"/>
  <c r="IO32" i="17"/>
  <c r="IO28" i="17"/>
  <c r="IL30" i="17"/>
  <c r="IL32" i="17" s="1"/>
  <c r="IL35" i="17" s="1"/>
  <c r="IK32" i="17"/>
  <c r="CP32" i="17"/>
  <c r="CO28" i="17"/>
  <c r="CO32" i="17"/>
  <c r="PS37" i="2"/>
  <c r="C15" i="7"/>
  <c r="ET37" i="2"/>
  <c r="E418" i="8" s="1"/>
  <c r="E419" i="8" s="1"/>
  <c r="PO14" i="2"/>
  <c r="H290" i="8"/>
  <c r="PR30" i="2"/>
  <c r="PR34" i="2"/>
  <c r="PO32" i="2"/>
  <c r="EV37" i="2"/>
  <c r="EY26" i="2"/>
  <c r="EY24" i="2"/>
  <c r="EY18" i="2"/>
  <c r="EU37" i="2"/>
  <c r="E291" i="8"/>
  <c r="H291" i="8" s="1"/>
  <c r="EY16" i="2"/>
  <c r="PQ34" i="2"/>
  <c r="PO21" i="2"/>
  <c r="PO16" i="2"/>
  <c r="PT37" i="2"/>
  <c r="PT42" i="2" s="1"/>
  <c r="PP30" i="2"/>
  <c r="FB30" i="2"/>
  <c r="ES34" i="2"/>
  <c r="PO17" i="2"/>
  <c r="PO13" i="2"/>
  <c r="EY14" i="2"/>
  <c r="EY22" i="2"/>
  <c r="ES30" i="2"/>
  <c r="PO23" i="2"/>
  <c r="BO29" i="6"/>
  <c r="PO27" i="2"/>
  <c r="PO19" i="2"/>
  <c r="PO15" i="2"/>
  <c r="PO33" i="2"/>
  <c r="EY20" i="2"/>
  <c r="EY28" i="2"/>
  <c r="EY33" i="2"/>
  <c r="EY13" i="2"/>
  <c r="EY15" i="2"/>
  <c r="EY17" i="2"/>
  <c r="EY19" i="2"/>
  <c r="EY21" i="2"/>
  <c r="EY23" i="2"/>
  <c r="EY25" i="2"/>
  <c r="EY27" i="2"/>
  <c r="EY29" i="2"/>
  <c r="FA34" i="2"/>
  <c r="PO25" i="2"/>
  <c r="W33" i="6"/>
  <c r="FA30" i="2"/>
  <c r="PP34" i="2"/>
  <c r="W29" i="6"/>
  <c r="EY12" i="2"/>
  <c r="EY32" i="2"/>
  <c r="PO29" i="2"/>
  <c r="PO18" i="2"/>
  <c r="V29" i="6"/>
  <c r="V36" i="6" s="1"/>
  <c r="BN26" i="6"/>
  <c r="IK25" i="17" s="1"/>
  <c r="BN22" i="6"/>
  <c r="IK21" i="17" s="1"/>
  <c r="BN18" i="6"/>
  <c r="IK17" i="17" s="1"/>
  <c r="BN16" i="6"/>
  <c r="IK15" i="17" s="1"/>
  <c r="BN14" i="6"/>
  <c r="IK13" i="17" s="1"/>
  <c r="BN12" i="6"/>
  <c r="IK11" i="17" s="1"/>
  <c r="BO33" i="6"/>
  <c r="BN17" i="6"/>
  <c r="IK16" i="17" s="1"/>
  <c r="FB34" i="2"/>
  <c r="BN33" i="6"/>
  <c r="PO12" i="2"/>
  <c r="PO20" i="2"/>
  <c r="PO24" i="2"/>
  <c r="PO28" i="2"/>
  <c r="F268" i="8"/>
  <c r="F271" i="8" s="1"/>
  <c r="PQ30" i="2"/>
  <c r="PO22" i="2"/>
  <c r="PO26" i="2"/>
  <c r="EZ30" i="2"/>
  <c r="EZ34" i="2"/>
  <c r="CS35" i="17" l="1"/>
  <c r="CT35" i="17"/>
  <c r="CP35" i="17"/>
  <c r="CO35" i="17"/>
  <c r="F394" i="8"/>
  <c r="F396" i="8" s="1"/>
  <c r="PS42" i="2"/>
  <c r="IK28" i="17"/>
  <c r="IK35" i="17" s="1"/>
  <c r="IK36" i="17" s="1"/>
  <c r="IO35" i="17"/>
  <c r="IO36" i="17" s="1"/>
  <c r="G419" i="8"/>
  <c r="H419" i="8"/>
  <c r="FA37" i="2"/>
  <c r="B20" i="7" s="1"/>
  <c r="PR37" i="2"/>
  <c r="BO36" i="6"/>
  <c r="FB37" i="2"/>
  <c r="PO34" i="2"/>
  <c r="ES37" i="2"/>
  <c r="H418" i="8"/>
  <c r="G418" i="8"/>
  <c r="PQ37" i="2"/>
  <c r="E397" i="8" s="1"/>
  <c r="E421" i="8"/>
  <c r="B15" i="7"/>
  <c r="EZ37" i="2"/>
  <c r="E264" i="8" s="1"/>
  <c r="E267" i="8" s="1"/>
  <c r="G267" i="8" s="1"/>
  <c r="PP37" i="2"/>
  <c r="E394" i="8" s="1"/>
  <c r="C11" i="7"/>
  <c r="F397" i="8"/>
  <c r="F399" i="8" s="1"/>
  <c r="W36" i="6"/>
  <c r="EY34" i="2"/>
  <c r="EY30" i="2"/>
  <c r="BN29" i="6"/>
  <c r="BN36" i="6" s="1"/>
  <c r="PO30" i="2"/>
  <c r="E268" i="8"/>
  <c r="FM33" i="2"/>
  <c r="AB32" i="6" s="1"/>
  <c r="DE31" i="17" s="1"/>
  <c r="DF31" i="17" s="1"/>
  <c r="FM32" i="2"/>
  <c r="AB31" i="6" s="1"/>
  <c r="DE30" i="17" s="1"/>
  <c r="DF30" i="17" s="1"/>
  <c r="FL32" i="2"/>
  <c r="FL13" i="2"/>
  <c r="FM13" i="2"/>
  <c r="AB12" i="6" s="1"/>
  <c r="DE11" i="17" s="1"/>
  <c r="FL14" i="2"/>
  <c r="FM14" i="2"/>
  <c r="AB13" i="6" s="1"/>
  <c r="DE12" i="17" s="1"/>
  <c r="FL15" i="2"/>
  <c r="FM15" i="2"/>
  <c r="AB14" i="6" s="1"/>
  <c r="DE13" i="17" s="1"/>
  <c r="FL16" i="2"/>
  <c r="FM16" i="2"/>
  <c r="AB15" i="6" s="1"/>
  <c r="DE14" i="17" s="1"/>
  <c r="FL17" i="2"/>
  <c r="FM17" i="2"/>
  <c r="AB16" i="6" s="1"/>
  <c r="DE15" i="17" s="1"/>
  <c r="FL18" i="2"/>
  <c r="FM18" i="2"/>
  <c r="AB17" i="6" s="1"/>
  <c r="DE16" i="17" s="1"/>
  <c r="FL19" i="2"/>
  <c r="FM19" i="2"/>
  <c r="AB18" i="6" s="1"/>
  <c r="DE17" i="17" s="1"/>
  <c r="FL20" i="2"/>
  <c r="FM20" i="2"/>
  <c r="AB19" i="6" s="1"/>
  <c r="DE18" i="17" s="1"/>
  <c r="FL21" i="2"/>
  <c r="FM21" i="2"/>
  <c r="AB20" i="6" s="1"/>
  <c r="DE19" i="17" s="1"/>
  <c r="FL22" i="2"/>
  <c r="FM22" i="2"/>
  <c r="AB21" i="6" s="1"/>
  <c r="DE20" i="17" s="1"/>
  <c r="FL23" i="2"/>
  <c r="FM23" i="2"/>
  <c r="AB22" i="6" s="1"/>
  <c r="DE21" i="17" s="1"/>
  <c r="FL24" i="2"/>
  <c r="FM24" i="2"/>
  <c r="AB23" i="6" s="1"/>
  <c r="DE22" i="17" s="1"/>
  <c r="FL25" i="2"/>
  <c r="FM25" i="2"/>
  <c r="AB24" i="6" s="1"/>
  <c r="DE23" i="17" s="1"/>
  <c r="FL26" i="2"/>
  <c r="FM26" i="2"/>
  <c r="AB25" i="6" s="1"/>
  <c r="DE24" i="17" s="1"/>
  <c r="FL27" i="2"/>
  <c r="FM27" i="2"/>
  <c r="AB26" i="6" s="1"/>
  <c r="DE25" i="17" s="1"/>
  <c r="FL28" i="2"/>
  <c r="FM28" i="2"/>
  <c r="AB27" i="6" s="1"/>
  <c r="DE26" i="17" s="1"/>
  <c r="FL29" i="2"/>
  <c r="FM29" i="2"/>
  <c r="AB28" i="6" s="1"/>
  <c r="DE27" i="17" s="1"/>
  <c r="FM12" i="2"/>
  <c r="AB11" i="6" s="1"/>
  <c r="DE10" i="17" s="1"/>
  <c r="FL12" i="2"/>
  <c r="FP34" i="2"/>
  <c r="FO34" i="2"/>
  <c r="FN33" i="2"/>
  <c r="FN32" i="2"/>
  <c r="FP30" i="2"/>
  <c r="FO30" i="2"/>
  <c r="FN29" i="2"/>
  <c r="FN28" i="2"/>
  <c r="FN27" i="2"/>
  <c r="FN26" i="2"/>
  <c r="FN25" i="2"/>
  <c r="FN24" i="2"/>
  <c r="FN23" i="2"/>
  <c r="FN22" i="2"/>
  <c r="FN21" i="2"/>
  <c r="FN20" i="2"/>
  <c r="FN19" i="2"/>
  <c r="FN18" i="2"/>
  <c r="FN17" i="2"/>
  <c r="FN16" i="2"/>
  <c r="FN15" i="2"/>
  <c r="FN14" i="2"/>
  <c r="FN13" i="2"/>
  <c r="FN12" i="2"/>
  <c r="F3" i="2"/>
  <c r="D9" i="5"/>
  <c r="F9" i="5"/>
  <c r="H9" i="5"/>
  <c r="L9" i="5"/>
  <c r="N9" i="5"/>
  <c r="P9" i="5"/>
  <c r="R9" i="5"/>
  <c r="T9" i="5"/>
  <c r="V9" i="5"/>
  <c r="X9" i="5"/>
  <c r="Z9" i="5"/>
  <c r="AB9" i="5"/>
  <c r="AD9" i="5"/>
  <c r="AF9" i="5"/>
  <c r="AH9" i="5"/>
  <c r="AL9" i="5"/>
  <c r="D10" i="5"/>
  <c r="F10" i="5"/>
  <c r="H10" i="5"/>
  <c r="L10" i="5"/>
  <c r="N10" i="5"/>
  <c r="P10" i="5"/>
  <c r="R10" i="5"/>
  <c r="T10" i="5"/>
  <c r="V10" i="5"/>
  <c r="X10" i="5"/>
  <c r="Z10" i="5"/>
  <c r="AB10" i="5"/>
  <c r="AD10" i="5"/>
  <c r="AF10" i="5"/>
  <c r="AH10" i="5"/>
  <c r="AL10" i="5"/>
  <c r="D11" i="5"/>
  <c r="F11" i="5"/>
  <c r="H11" i="5"/>
  <c r="L11" i="5"/>
  <c r="N11" i="5"/>
  <c r="P11" i="5"/>
  <c r="R11" i="5"/>
  <c r="T11" i="5"/>
  <c r="V11" i="5"/>
  <c r="X11" i="5"/>
  <c r="Z11" i="5"/>
  <c r="AB11" i="5"/>
  <c r="AD11" i="5"/>
  <c r="AF11" i="5"/>
  <c r="AH11" i="5"/>
  <c r="AL11" i="5"/>
  <c r="D12" i="5"/>
  <c r="F12" i="5"/>
  <c r="H12" i="5"/>
  <c r="L12" i="5"/>
  <c r="N12" i="5"/>
  <c r="P12" i="5"/>
  <c r="R12" i="5"/>
  <c r="T12" i="5"/>
  <c r="V12" i="5"/>
  <c r="X12" i="5"/>
  <c r="Z12" i="5"/>
  <c r="AB12" i="5"/>
  <c r="AD12" i="5"/>
  <c r="AF12" i="5"/>
  <c r="AH12" i="5"/>
  <c r="AL12" i="5"/>
  <c r="D13" i="5"/>
  <c r="F13" i="5"/>
  <c r="H13" i="5"/>
  <c r="L13" i="5"/>
  <c r="N13" i="5"/>
  <c r="P13" i="5"/>
  <c r="R13" i="5"/>
  <c r="T13" i="5"/>
  <c r="V13" i="5"/>
  <c r="X13" i="5"/>
  <c r="Z13" i="5"/>
  <c r="AB13" i="5"/>
  <c r="AD13" i="5"/>
  <c r="AF13" i="5"/>
  <c r="AH13" i="5"/>
  <c r="AL13" i="5"/>
  <c r="D14" i="5"/>
  <c r="F14" i="5"/>
  <c r="H14" i="5"/>
  <c r="L14" i="5"/>
  <c r="N14" i="5"/>
  <c r="P14" i="5"/>
  <c r="R14" i="5"/>
  <c r="T14" i="5"/>
  <c r="V14" i="5"/>
  <c r="X14" i="5"/>
  <c r="Z14" i="5"/>
  <c r="AB14" i="5"/>
  <c r="AD14" i="5"/>
  <c r="AF14" i="5"/>
  <c r="AH14" i="5"/>
  <c r="AL14" i="5"/>
  <c r="D15" i="5"/>
  <c r="F15" i="5"/>
  <c r="H15" i="5"/>
  <c r="L15" i="5"/>
  <c r="N15" i="5"/>
  <c r="R15" i="5"/>
  <c r="T15" i="5"/>
  <c r="V15" i="5"/>
  <c r="X15" i="5"/>
  <c r="Z15" i="5"/>
  <c r="AB15" i="5"/>
  <c r="AD15" i="5"/>
  <c r="AF15" i="5"/>
  <c r="AH15" i="5"/>
  <c r="AL15" i="5"/>
  <c r="D16" i="5"/>
  <c r="F16" i="5"/>
  <c r="H16" i="5"/>
  <c r="L16" i="5"/>
  <c r="N16" i="5"/>
  <c r="P16" i="5"/>
  <c r="R16" i="5"/>
  <c r="T16" i="5"/>
  <c r="V16" i="5"/>
  <c r="X16" i="5"/>
  <c r="Z16" i="5"/>
  <c r="AB16" i="5"/>
  <c r="AD16" i="5"/>
  <c r="AF16" i="5"/>
  <c r="AH16" i="5"/>
  <c r="AL16" i="5"/>
  <c r="D17" i="5"/>
  <c r="F17" i="5"/>
  <c r="H17" i="5"/>
  <c r="L17" i="5"/>
  <c r="N17" i="5"/>
  <c r="P17" i="5"/>
  <c r="R17" i="5"/>
  <c r="T17" i="5"/>
  <c r="V17" i="5"/>
  <c r="X17" i="5"/>
  <c r="Z17" i="5"/>
  <c r="AB17" i="5"/>
  <c r="AD17" i="5"/>
  <c r="AF17" i="5"/>
  <c r="AH17" i="5"/>
  <c r="AL17" i="5"/>
  <c r="D18" i="5"/>
  <c r="F18" i="5"/>
  <c r="H18" i="5"/>
  <c r="L18" i="5"/>
  <c r="N18" i="5"/>
  <c r="P18" i="5"/>
  <c r="R18" i="5"/>
  <c r="T18" i="5"/>
  <c r="V18" i="5"/>
  <c r="X18" i="5"/>
  <c r="Z18" i="5"/>
  <c r="AB18" i="5"/>
  <c r="AD18" i="5"/>
  <c r="AF18" i="5"/>
  <c r="AH18" i="5"/>
  <c r="AL18" i="5"/>
  <c r="D19" i="5"/>
  <c r="F19" i="5"/>
  <c r="H19" i="5"/>
  <c r="L19" i="5"/>
  <c r="N19" i="5"/>
  <c r="P19" i="5"/>
  <c r="R19" i="5"/>
  <c r="T19" i="5"/>
  <c r="V19" i="5"/>
  <c r="X19" i="5"/>
  <c r="Z19" i="5"/>
  <c r="AB19" i="5"/>
  <c r="AD19" i="5"/>
  <c r="AF19" i="5"/>
  <c r="AH19" i="5"/>
  <c r="AL19" i="5"/>
  <c r="D20" i="5"/>
  <c r="F20" i="5"/>
  <c r="H20" i="5"/>
  <c r="L20" i="5"/>
  <c r="N20" i="5"/>
  <c r="R20" i="5"/>
  <c r="T20" i="5"/>
  <c r="V20" i="5"/>
  <c r="X20" i="5"/>
  <c r="Z20" i="5"/>
  <c r="AB20" i="5"/>
  <c r="AD20" i="5"/>
  <c r="AF20" i="5"/>
  <c r="AH20" i="5"/>
  <c r="AL20" i="5"/>
  <c r="D21" i="5"/>
  <c r="F21" i="5"/>
  <c r="H21" i="5"/>
  <c r="L21" i="5"/>
  <c r="N21" i="5"/>
  <c r="P21" i="5"/>
  <c r="R21" i="5"/>
  <c r="T21" i="5"/>
  <c r="V21" i="5"/>
  <c r="X21" i="5"/>
  <c r="Z21" i="5"/>
  <c r="AB21" i="5"/>
  <c r="AD21" i="5"/>
  <c r="AF21" i="5"/>
  <c r="AH21" i="5"/>
  <c r="AL21" i="5"/>
  <c r="D22" i="5"/>
  <c r="F22" i="5"/>
  <c r="H22" i="5"/>
  <c r="L22" i="5"/>
  <c r="N22" i="5"/>
  <c r="P22" i="5"/>
  <c r="R22" i="5"/>
  <c r="T22" i="5"/>
  <c r="V22" i="5"/>
  <c r="X22" i="5"/>
  <c r="Z22" i="5"/>
  <c r="AB22" i="5"/>
  <c r="AD22" i="5"/>
  <c r="AF22" i="5"/>
  <c r="AH22" i="5"/>
  <c r="AL22" i="5"/>
  <c r="D23" i="5"/>
  <c r="F23" i="5"/>
  <c r="H23" i="5"/>
  <c r="L23" i="5"/>
  <c r="N23" i="5"/>
  <c r="R23" i="5"/>
  <c r="T23" i="5"/>
  <c r="V23" i="5"/>
  <c r="X23" i="5"/>
  <c r="Z23" i="5"/>
  <c r="AB23" i="5"/>
  <c r="AD23" i="5"/>
  <c r="AF23" i="5"/>
  <c r="AH23" i="5"/>
  <c r="AL23" i="5"/>
  <c r="D24" i="5"/>
  <c r="F24" i="5"/>
  <c r="H24" i="5"/>
  <c r="L24" i="5"/>
  <c r="N24" i="5"/>
  <c r="P24" i="5"/>
  <c r="R24" i="5"/>
  <c r="T24" i="5"/>
  <c r="V24" i="5"/>
  <c r="X24" i="5"/>
  <c r="Z24" i="5"/>
  <c r="AB24" i="5"/>
  <c r="AD24" i="5"/>
  <c r="AF24" i="5"/>
  <c r="AH24" i="5"/>
  <c r="AL24" i="5"/>
  <c r="D25" i="5"/>
  <c r="F25" i="5"/>
  <c r="H25" i="5"/>
  <c r="L25" i="5"/>
  <c r="N25" i="5"/>
  <c r="P25" i="5"/>
  <c r="R25" i="5"/>
  <c r="T25" i="5"/>
  <c r="V25" i="5"/>
  <c r="X25" i="5"/>
  <c r="Z25" i="5"/>
  <c r="AB25" i="5"/>
  <c r="AD25" i="5"/>
  <c r="AF25" i="5"/>
  <c r="AH25" i="5"/>
  <c r="AL25" i="5"/>
  <c r="D26" i="5"/>
  <c r="F26" i="5"/>
  <c r="H26" i="5"/>
  <c r="L26" i="5"/>
  <c r="N26" i="5"/>
  <c r="R26" i="5"/>
  <c r="T26" i="5"/>
  <c r="V26" i="5"/>
  <c r="X26" i="5"/>
  <c r="Z26" i="5"/>
  <c r="AB26" i="5"/>
  <c r="AD26" i="5"/>
  <c r="AF26" i="5"/>
  <c r="AH26" i="5"/>
  <c r="AL26" i="5"/>
  <c r="D27" i="5"/>
  <c r="F27" i="5"/>
  <c r="H27" i="5"/>
  <c r="L27" i="5"/>
  <c r="N27" i="5"/>
  <c r="P27" i="5"/>
  <c r="R27" i="5"/>
  <c r="T27" i="5"/>
  <c r="V27" i="5"/>
  <c r="X27" i="5"/>
  <c r="Z27" i="5"/>
  <c r="AB27" i="5"/>
  <c r="AD27" i="5"/>
  <c r="AF27" i="5"/>
  <c r="AH27" i="5"/>
  <c r="AL27" i="5"/>
  <c r="D8" i="5"/>
  <c r="F8" i="5"/>
  <c r="H8" i="5"/>
  <c r="L8" i="5"/>
  <c r="N8" i="5"/>
  <c r="P8" i="5"/>
  <c r="R8" i="5"/>
  <c r="T8" i="5"/>
  <c r="V8" i="5"/>
  <c r="X8" i="5"/>
  <c r="Z8" i="5"/>
  <c r="AB8" i="5"/>
  <c r="AD8" i="5"/>
  <c r="AF8" i="5"/>
  <c r="AH8" i="5"/>
  <c r="AL8" i="5"/>
  <c r="CS36" i="17" l="1"/>
  <c r="CO36" i="17"/>
  <c r="DF32" i="17"/>
  <c r="DF35" i="17" s="1"/>
  <c r="F389" i="8"/>
  <c r="DE28" i="17"/>
  <c r="DE32" i="17"/>
  <c r="E6" i="16"/>
  <c r="I395" i="8"/>
  <c r="E396" i="8"/>
  <c r="I398" i="8"/>
  <c r="E399" i="8"/>
  <c r="H399" i="8" s="1"/>
  <c r="I419" i="8"/>
  <c r="E422" i="8"/>
  <c r="H398" i="8"/>
  <c r="H395" i="8"/>
  <c r="H420" i="8"/>
  <c r="H396" i="8"/>
  <c r="PO37" i="2"/>
  <c r="I418" i="8"/>
  <c r="B11" i="7"/>
  <c r="G264" i="8"/>
  <c r="I264" i="8" s="1"/>
  <c r="EY37" i="2"/>
  <c r="H423" i="8"/>
  <c r="H421" i="8"/>
  <c r="G421" i="8"/>
  <c r="H264" i="8"/>
  <c r="H394" i="8"/>
  <c r="G394" i="8"/>
  <c r="G397" i="8"/>
  <c r="G399" i="8" s="1"/>
  <c r="H397" i="8"/>
  <c r="FK12" i="2"/>
  <c r="FM34" i="2"/>
  <c r="E271" i="8"/>
  <c r="G271" i="8" s="1"/>
  <c r="H268" i="8"/>
  <c r="G268" i="8"/>
  <c r="I268" i="8" s="1"/>
  <c r="FN34" i="2"/>
  <c r="FL30" i="2"/>
  <c r="FK28" i="2"/>
  <c r="FK26" i="2"/>
  <c r="FK20" i="2"/>
  <c r="FK18" i="2"/>
  <c r="AC33" i="6"/>
  <c r="FK24" i="2"/>
  <c r="FP37" i="2"/>
  <c r="FP38" i="2" s="1"/>
  <c r="FP42" i="2" s="1"/>
  <c r="FK27" i="2"/>
  <c r="FK25" i="2"/>
  <c r="FK23" i="2"/>
  <c r="FK21" i="2"/>
  <c r="FN30" i="2"/>
  <c r="FK16" i="2"/>
  <c r="FO37" i="2"/>
  <c r="FM30" i="2"/>
  <c r="FK29" i="2"/>
  <c r="AB33" i="6"/>
  <c r="FK14" i="2"/>
  <c r="FK22" i="2"/>
  <c r="FK19" i="2"/>
  <c r="FK17" i="2"/>
  <c r="FK15" i="2"/>
  <c r="FK13" i="2"/>
  <c r="AC29" i="6"/>
  <c r="FK32" i="2"/>
  <c r="DE35" i="17" l="1"/>
  <c r="DE36" i="17" s="1"/>
  <c r="D6" i="16"/>
  <c r="C34" i="7"/>
  <c r="F196" i="8"/>
  <c r="F199" i="8" s="1"/>
  <c r="FO38" i="2"/>
  <c r="I394" i="8"/>
  <c r="G396" i="8"/>
  <c r="F6" i="16" s="1"/>
  <c r="G422" i="8"/>
  <c r="H422" i="8"/>
  <c r="I420" i="8"/>
  <c r="I423" i="8"/>
  <c r="I421" i="8"/>
  <c r="FN37" i="2"/>
  <c r="FM37" i="2"/>
  <c r="I399" i="8"/>
  <c r="I397" i="8"/>
  <c r="AC36" i="6"/>
  <c r="AB29" i="6"/>
  <c r="AB36" i="6" s="1"/>
  <c r="FK30" i="2"/>
  <c r="I197" i="8"/>
  <c r="H197" i="8"/>
  <c r="I193" i="8"/>
  <c r="H193" i="8"/>
  <c r="J192" i="8"/>
  <c r="F192" i="8" l="1"/>
  <c r="F195" i="8" s="1"/>
  <c r="FO42" i="2"/>
  <c r="FM38" i="2"/>
  <c r="I422" i="8"/>
  <c r="I396" i="8"/>
  <c r="B34" i="7" l="1"/>
  <c r="E196" i="8"/>
  <c r="E199" i="8" s="1"/>
  <c r="H199" i="8" s="1"/>
  <c r="E13" i="13"/>
  <c r="I13" i="13"/>
  <c r="E13" i="9"/>
  <c r="WM12" i="2" l="1"/>
  <c r="WN12" i="2"/>
  <c r="WM13" i="2"/>
  <c r="WN13" i="2"/>
  <c r="WM14" i="2"/>
  <c r="WN14" i="2"/>
  <c r="WM15" i="2"/>
  <c r="WN15" i="2"/>
  <c r="WM16" i="2"/>
  <c r="WN16" i="2"/>
  <c r="WM17" i="2"/>
  <c r="WN17" i="2"/>
  <c r="WM18" i="2"/>
  <c r="WN18" i="2"/>
  <c r="WM19" i="2"/>
  <c r="WN19" i="2"/>
  <c r="WM20" i="2"/>
  <c r="WN20" i="2"/>
  <c r="WM21" i="2"/>
  <c r="WN21" i="2"/>
  <c r="WM22" i="2"/>
  <c r="WN22" i="2"/>
  <c r="WM23" i="2"/>
  <c r="WN23" i="2"/>
  <c r="WM24" i="2"/>
  <c r="WN24" i="2"/>
  <c r="WM25" i="2"/>
  <c r="WN25" i="2"/>
  <c r="WM26" i="2"/>
  <c r="WN26" i="2"/>
  <c r="WM27" i="2"/>
  <c r="WN27" i="2"/>
  <c r="WM28" i="2"/>
  <c r="WN28" i="2"/>
  <c r="WM29" i="2"/>
  <c r="WN29" i="2"/>
  <c r="WM31" i="2"/>
  <c r="WN31" i="2"/>
  <c r="WM32" i="2"/>
  <c r="WN32" i="2"/>
  <c r="WM33" i="2"/>
  <c r="WN33" i="2"/>
  <c r="WM35" i="2"/>
  <c r="WN35" i="2"/>
  <c r="WM36" i="2"/>
  <c r="WN36" i="2"/>
  <c r="WA12" i="2"/>
  <c r="WB12" i="2"/>
  <c r="WI12" i="2"/>
  <c r="WJ12" i="2"/>
  <c r="WA13" i="2"/>
  <c r="WB13" i="2"/>
  <c r="WI13" i="2"/>
  <c r="WJ13" i="2"/>
  <c r="WA14" i="2"/>
  <c r="WB14" i="2"/>
  <c r="WI14" i="2"/>
  <c r="WJ14" i="2"/>
  <c r="WA15" i="2"/>
  <c r="WB15" i="2"/>
  <c r="WI15" i="2"/>
  <c r="WJ15" i="2"/>
  <c r="WA16" i="2"/>
  <c r="WB16" i="2"/>
  <c r="WI16" i="2"/>
  <c r="WJ16" i="2"/>
  <c r="WA17" i="2"/>
  <c r="WB17" i="2"/>
  <c r="WI17" i="2"/>
  <c r="WJ17" i="2"/>
  <c r="WA18" i="2"/>
  <c r="WB18" i="2"/>
  <c r="WI18" i="2"/>
  <c r="WJ18" i="2"/>
  <c r="WA19" i="2"/>
  <c r="WB19" i="2"/>
  <c r="WI19" i="2"/>
  <c r="WJ19" i="2"/>
  <c r="WA20" i="2"/>
  <c r="WB20" i="2"/>
  <c r="WI20" i="2"/>
  <c r="WJ20" i="2"/>
  <c r="WA21" i="2"/>
  <c r="WB21" i="2"/>
  <c r="WI21" i="2"/>
  <c r="WJ21" i="2"/>
  <c r="WA22" i="2"/>
  <c r="WB22" i="2"/>
  <c r="WI22" i="2"/>
  <c r="WJ22" i="2"/>
  <c r="WA23" i="2"/>
  <c r="WB23" i="2"/>
  <c r="WI23" i="2"/>
  <c r="WJ23" i="2"/>
  <c r="WA24" i="2"/>
  <c r="WB24" i="2"/>
  <c r="WI24" i="2"/>
  <c r="WJ24" i="2"/>
  <c r="WA25" i="2"/>
  <c r="WB25" i="2"/>
  <c r="WI25" i="2"/>
  <c r="WJ25" i="2"/>
  <c r="WA26" i="2"/>
  <c r="WB26" i="2"/>
  <c r="WI26" i="2"/>
  <c r="WJ26" i="2"/>
  <c r="WA27" i="2"/>
  <c r="WB27" i="2"/>
  <c r="WI27" i="2"/>
  <c r="WJ27" i="2"/>
  <c r="WA28" i="2"/>
  <c r="WB28" i="2"/>
  <c r="WI28" i="2"/>
  <c r="WJ28" i="2"/>
  <c r="WA29" i="2"/>
  <c r="WB29" i="2"/>
  <c r="WI29" i="2"/>
  <c r="WJ29" i="2"/>
  <c r="VW30" i="2"/>
  <c r="VX30" i="2"/>
  <c r="VY30" i="2"/>
  <c r="VZ30" i="2"/>
  <c r="WA30" i="2"/>
  <c r="WB30" i="2"/>
  <c r="WC30" i="2"/>
  <c r="WD30" i="2"/>
  <c r="WE30" i="2"/>
  <c r="WF30" i="2"/>
  <c r="WG30" i="2"/>
  <c r="WH30" i="2"/>
  <c r="WK30" i="2"/>
  <c r="WL30" i="2"/>
  <c r="VU32" i="2"/>
  <c r="VV32" i="2"/>
  <c r="VU33" i="2"/>
  <c r="VV33" i="2"/>
  <c r="VW34" i="2"/>
  <c r="VX34" i="2"/>
  <c r="VY34" i="2"/>
  <c r="VZ34" i="2"/>
  <c r="WA34" i="2"/>
  <c r="WB34" i="2"/>
  <c r="WC34" i="2"/>
  <c r="WD34" i="2"/>
  <c r="WE34" i="2"/>
  <c r="WF34" i="2"/>
  <c r="WG34" i="2"/>
  <c r="WH34" i="2"/>
  <c r="WI34" i="2"/>
  <c r="WJ34" i="2"/>
  <c r="WK34" i="2"/>
  <c r="WL34" i="2"/>
  <c r="VI12" i="2"/>
  <c r="VK12" i="2"/>
  <c r="VO12" i="2"/>
  <c r="VQ12" i="2"/>
  <c r="VS12" i="2"/>
  <c r="VI13" i="2"/>
  <c r="VK13" i="2"/>
  <c r="VO13" i="2"/>
  <c r="VQ13" i="2"/>
  <c r="VS13" i="2"/>
  <c r="VI14" i="2"/>
  <c r="VK14" i="2"/>
  <c r="VO14" i="2"/>
  <c r="VS14" i="2"/>
  <c r="VI15" i="2"/>
  <c r="VK15" i="2"/>
  <c r="VO15" i="2"/>
  <c r="VS15" i="2"/>
  <c r="VI16" i="2"/>
  <c r="VK16" i="2"/>
  <c r="VO16" i="2"/>
  <c r="VS16" i="2"/>
  <c r="VI17" i="2"/>
  <c r="VK17" i="2"/>
  <c r="VO17" i="2"/>
  <c r="VS17" i="2"/>
  <c r="VI18" i="2"/>
  <c r="VK18" i="2"/>
  <c r="VO18" i="2"/>
  <c r="VS18" i="2"/>
  <c r="VI19" i="2"/>
  <c r="VK19" i="2"/>
  <c r="VO19" i="2"/>
  <c r="VS19" i="2"/>
  <c r="VI20" i="2"/>
  <c r="VK20" i="2"/>
  <c r="VO20" i="2"/>
  <c r="VS20" i="2"/>
  <c r="VI21" i="2"/>
  <c r="VK21" i="2"/>
  <c r="VO21" i="2"/>
  <c r="VS21" i="2"/>
  <c r="VI22" i="2"/>
  <c r="VK22" i="2"/>
  <c r="VO22" i="2"/>
  <c r="VS22" i="2"/>
  <c r="VI23" i="2"/>
  <c r="VK23" i="2"/>
  <c r="VO23" i="2"/>
  <c r="VS23" i="2"/>
  <c r="VI24" i="2"/>
  <c r="VK24" i="2"/>
  <c r="VO24" i="2"/>
  <c r="VS24" i="2"/>
  <c r="VI25" i="2"/>
  <c r="VK25" i="2"/>
  <c r="VO25" i="2"/>
  <c r="VS25" i="2"/>
  <c r="VI26" i="2"/>
  <c r="VK26" i="2"/>
  <c r="VO26" i="2"/>
  <c r="VS26" i="2"/>
  <c r="VI27" i="2"/>
  <c r="VK27" i="2"/>
  <c r="VO27" i="2"/>
  <c r="VS27" i="2"/>
  <c r="VI28" i="2"/>
  <c r="VK28" i="2"/>
  <c r="VO28" i="2"/>
  <c r="VS28" i="2"/>
  <c r="VI29" i="2"/>
  <c r="VK29" i="2"/>
  <c r="VO29" i="2"/>
  <c r="VS29" i="2"/>
  <c r="VT30" i="2"/>
  <c r="VI32" i="2"/>
  <c r="VK32" i="2"/>
  <c r="VM32" i="2"/>
  <c r="VO32" i="2"/>
  <c r="VQ32" i="2"/>
  <c r="VS32" i="2"/>
  <c r="VI33" i="2"/>
  <c r="VK33" i="2"/>
  <c r="VM33" i="2"/>
  <c r="VO33" i="2"/>
  <c r="VQ33" i="2"/>
  <c r="VS33" i="2"/>
  <c r="VR34" i="2"/>
  <c r="VT34" i="2"/>
  <c r="TC12" i="2"/>
  <c r="TE12" i="2"/>
  <c r="TG12" i="2"/>
  <c r="TC13" i="2"/>
  <c r="TG13" i="2"/>
  <c r="TC14" i="2"/>
  <c r="TG14" i="2"/>
  <c r="TC15" i="2"/>
  <c r="TG15" i="2"/>
  <c r="TC16" i="2"/>
  <c r="TG16" i="2"/>
  <c r="TA17" i="2"/>
  <c r="TC17" i="2"/>
  <c r="TG17" i="2"/>
  <c r="TC18" i="2"/>
  <c r="TG18" i="2"/>
  <c r="TA19" i="2"/>
  <c r="TC19" i="2"/>
  <c r="TG19" i="2"/>
  <c r="TC20" i="2"/>
  <c r="TG20" i="2"/>
  <c r="TC21" i="2"/>
  <c r="TG21" i="2"/>
  <c r="TC22" i="2"/>
  <c r="TG22" i="2"/>
  <c r="TC23" i="2"/>
  <c r="TG23" i="2"/>
  <c r="TC24" i="2"/>
  <c r="TG24" i="2"/>
  <c r="TC25" i="2"/>
  <c r="TG25" i="2"/>
  <c r="TC26" i="2"/>
  <c r="TG26" i="2"/>
  <c r="TC27" i="2"/>
  <c r="TG27" i="2"/>
  <c r="TC28" i="2"/>
  <c r="TG28" i="2"/>
  <c r="TC29" i="2"/>
  <c r="TG29" i="2"/>
  <c r="TD30" i="2"/>
  <c r="TH30" i="2"/>
  <c r="TC32" i="2"/>
  <c r="TE32" i="2"/>
  <c r="TG32" i="2"/>
  <c r="TC33" i="2"/>
  <c r="TE33" i="2"/>
  <c r="TG33" i="2"/>
  <c r="TD34" i="2"/>
  <c r="TF34" i="2"/>
  <c r="TH34" i="2"/>
  <c r="VC34" i="2"/>
  <c r="VB34" i="2"/>
  <c r="SC12" i="2"/>
  <c r="SC13" i="2"/>
  <c r="SC14" i="2"/>
  <c r="SC15" i="2"/>
  <c r="SC16" i="2"/>
  <c r="SC17" i="2"/>
  <c r="SC18" i="2"/>
  <c r="SC19" i="2"/>
  <c r="SC20" i="2"/>
  <c r="SC21" i="2"/>
  <c r="SC22" i="2"/>
  <c r="SC23" i="2"/>
  <c r="SC24" i="2"/>
  <c r="SC25" i="2"/>
  <c r="SC26" i="2"/>
  <c r="SC27" i="2"/>
  <c r="SC28" i="2"/>
  <c r="RK30" i="2"/>
  <c r="SC29" i="2"/>
  <c r="RJ30" i="2"/>
  <c r="RL30" i="2"/>
  <c r="RN30" i="2"/>
  <c r="RD46" i="2" s="1"/>
  <c r="RD48" i="2" s="1"/>
  <c r="RP30" i="2"/>
  <c r="RR30" i="2"/>
  <c r="RT30" i="2"/>
  <c r="RV30" i="2"/>
  <c r="SD30" i="2"/>
  <c r="SF30" i="2"/>
  <c r="SC32" i="2"/>
  <c r="RQ34" i="2"/>
  <c r="SC33" i="2"/>
  <c r="RJ34" i="2"/>
  <c r="RL34" i="2"/>
  <c r="RN34" i="2"/>
  <c r="RP34" i="2"/>
  <c r="RR34" i="2"/>
  <c r="RT34" i="2"/>
  <c r="RV34" i="2"/>
  <c r="SD34" i="2"/>
  <c r="SF34" i="2"/>
  <c r="QU34" i="2"/>
  <c r="QV34" i="2"/>
  <c r="QW34" i="2"/>
  <c r="QX34" i="2"/>
  <c r="QY34" i="2"/>
  <c r="QZ34" i="2"/>
  <c r="NH12" i="2"/>
  <c r="NI12" i="2"/>
  <c r="NH13" i="2"/>
  <c r="NI13" i="2"/>
  <c r="NH14" i="2"/>
  <c r="NI14" i="2"/>
  <c r="NH15" i="2"/>
  <c r="NI15" i="2"/>
  <c r="NH16" i="2"/>
  <c r="NI16" i="2"/>
  <c r="NH17" i="2"/>
  <c r="NI17" i="2"/>
  <c r="NH18" i="2"/>
  <c r="NI18" i="2"/>
  <c r="NH19" i="2"/>
  <c r="NI19" i="2"/>
  <c r="NH20" i="2"/>
  <c r="NI20" i="2"/>
  <c r="NH21" i="2"/>
  <c r="NI21" i="2"/>
  <c r="NH22" i="2"/>
  <c r="NI22" i="2"/>
  <c r="NH23" i="2"/>
  <c r="NI23" i="2"/>
  <c r="NH24" i="2"/>
  <c r="NI24" i="2"/>
  <c r="NH25" i="2"/>
  <c r="NI25" i="2"/>
  <c r="NH26" i="2"/>
  <c r="NI26" i="2"/>
  <c r="NH27" i="2"/>
  <c r="NI27" i="2"/>
  <c r="NH28" i="2"/>
  <c r="NI28" i="2"/>
  <c r="NH29" i="2"/>
  <c r="NI29" i="2"/>
  <c r="NP30" i="2"/>
  <c r="NQ30" i="2"/>
  <c r="NC34" i="2"/>
  <c r="ND34" i="2"/>
  <c r="NE34" i="2"/>
  <c r="NG34" i="2"/>
  <c r="NH34" i="2"/>
  <c r="NI34" i="2"/>
  <c r="NK34" i="2"/>
  <c r="NL34" i="2"/>
  <c r="NM34" i="2"/>
  <c r="NO34" i="2"/>
  <c r="NP34" i="2"/>
  <c r="NQ34" i="2"/>
  <c r="NE13" i="2"/>
  <c r="ND14" i="2"/>
  <c r="NE14" i="2"/>
  <c r="ND15" i="2"/>
  <c r="NE17" i="2"/>
  <c r="ND18" i="2"/>
  <c r="NE18" i="2"/>
  <c r="ND19" i="2"/>
  <c r="NE21" i="2"/>
  <c r="ND22" i="2"/>
  <c r="NE22" i="2"/>
  <c r="ND23" i="2"/>
  <c r="NE25" i="2"/>
  <c r="ND26" i="2"/>
  <c r="NE26" i="2"/>
  <c r="ND27" i="2"/>
  <c r="NE29" i="2"/>
  <c r="MZ30" i="2"/>
  <c r="NA30" i="2"/>
  <c r="MU34" i="2"/>
  <c r="MV34" i="2"/>
  <c r="MW34" i="2"/>
  <c r="MZ34" i="2"/>
  <c r="NA34" i="2"/>
  <c r="MR30" i="2"/>
  <c r="MS30" i="2"/>
  <c r="MR34" i="2"/>
  <c r="MS34" i="2"/>
  <c r="BZ30" i="2"/>
  <c r="CH30" i="2"/>
  <c r="BZ34" i="2"/>
  <c r="CD34" i="2"/>
  <c r="CH34" i="2"/>
  <c r="SH32" i="2" l="1"/>
  <c r="SH12" i="2"/>
  <c r="SH33" i="2"/>
  <c r="SH13" i="2"/>
  <c r="SH29" i="2"/>
  <c r="SH28" i="2"/>
  <c r="SH27" i="2"/>
  <c r="SH26" i="2"/>
  <c r="SH25" i="2"/>
  <c r="SH24" i="2"/>
  <c r="SH23" i="2"/>
  <c r="SH22" i="2"/>
  <c r="SH21" i="2"/>
  <c r="SH20" i="2"/>
  <c r="SH19" i="2"/>
  <c r="SH18" i="2"/>
  <c r="SH17" i="2"/>
  <c r="SH16" i="2"/>
  <c r="SH15" i="2"/>
  <c r="SH14" i="2"/>
  <c r="NP37" i="2"/>
  <c r="AV27" i="1"/>
  <c r="AV25" i="1"/>
  <c r="AV23" i="1"/>
  <c r="AV21" i="1"/>
  <c r="AV19" i="1"/>
  <c r="AV17" i="1"/>
  <c r="AV15" i="1"/>
  <c r="AV13" i="1"/>
  <c r="AV12" i="1"/>
  <c r="AV28" i="1"/>
  <c r="AV26" i="1"/>
  <c r="AV24" i="1"/>
  <c r="AV22" i="1"/>
  <c r="AV20" i="1"/>
  <c r="AV18" i="1"/>
  <c r="AV16" i="1"/>
  <c r="AV14" i="1"/>
  <c r="AV11" i="1"/>
  <c r="R11" i="1"/>
  <c r="TH37" i="2"/>
  <c r="RV37" i="2"/>
  <c r="RV38" i="2" s="1"/>
  <c r="RN37" i="2"/>
  <c r="RN38" i="2" s="1"/>
  <c r="NG29" i="2"/>
  <c r="NG28" i="2"/>
  <c r="NG27" i="2"/>
  <c r="NG26" i="2"/>
  <c r="NG25" i="2"/>
  <c r="NG24" i="2"/>
  <c r="NG23" i="2"/>
  <c r="NG22" i="2"/>
  <c r="NG21" i="2"/>
  <c r="NG20" i="2"/>
  <c r="NG19" i="2"/>
  <c r="NG18" i="2"/>
  <c r="NG17" i="2"/>
  <c r="NG16" i="2"/>
  <c r="NG15" i="2"/>
  <c r="NG14" i="2"/>
  <c r="NG13" i="2"/>
  <c r="NG12" i="2"/>
  <c r="MQ30" i="2"/>
  <c r="MQ37" i="2" s="1"/>
  <c r="TL17" i="2"/>
  <c r="TJ17" i="2" s="1"/>
  <c r="TL29" i="2"/>
  <c r="TJ29" i="2" s="1"/>
  <c r="TL27" i="2"/>
  <c r="TJ27" i="2" s="1"/>
  <c r="TL25" i="2"/>
  <c r="TJ25" i="2" s="1"/>
  <c r="TL23" i="2"/>
  <c r="TJ23" i="2" s="1"/>
  <c r="TL21" i="2"/>
  <c r="TJ21" i="2" s="1"/>
  <c r="TL19" i="2"/>
  <c r="TJ19" i="2" s="1"/>
  <c r="TL16" i="2"/>
  <c r="TJ16" i="2" s="1"/>
  <c r="TL14" i="2"/>
  <c r="TJ14" i="2" s="1"/>
  <c r="TL12" i="2"/>
  <c r="TJ12" i="2" s="1"/>
  <c r="TL18" i="2"/>
  <c r="TJ18" i="2" s="1"/>
  <c r="TL28" i="2"/>
  <c r="TJ28" i="2" s="1"/>
  <c r="TL26" i="2"/>
  <c r="TJ26" i="2" s="1"/>
  <c r="TL24" i="2"/>
  <c r="TJ24" i="2" s="1"/>
  <c r="TL22" i="2"/>
  <c r="TJ22" i="2" s="1"/>
  <c r="TL20" i="2"/>
  <c r="TJ20" i="2" s="1"/>
  <c r="TL15" i="2"/>
  <c r="TJ15" i="2" s="1"/>
  <c r="TL13" i="2"/>
  <c r="TJ13" i="2" s="1"/>
  <c r="TK12" i="2"/>
  <c r="AD11" i="1" s="1"/>
  <c r="WN34" i="2"/>
  <c r="WB37" i="2"/>
  <c r="VV29" i="2"/>
  <c r="VV27" i="2"/>
  <c r="VV25" i="2"/>
  <c r="VV23" i="2"/>
  <c r="VV21" i="2"/>
  <c r="VV19" i="2"/>
  <c r="VV17" i="2"/>
  <c r="VV15" i="2"/>
  <c r="VV13" i="2"/>
  <c r="NQ37" i="2"/>
  <c r="WE37" i="2"/>
  <c r="MZ37" i="2"/>
  <c r="MR37" i="2"/>
  <c r="SC34" i="2"/>
  <c r="RL37" i="2"/>
  <c r="VT37" i="2"/>
  <c r="NO30" i="2"/>
  <c r="NO37" i="2" s="1"/>
  <c r="SF37" i="2"/>
  <c r="SF38" i="2" s="1"/>
  <c r="RJ37" i="2"/>
  <c r="TG34" i="2"/>
  <c r="RP37" i="2"/>
  <c r="RP38" i="2" s="1"/>
  <c r="TD37" i="2"/>
  <c r="WM30" i="2"/>
  <c r="VW37" i="2"/>
  <c r="NE28" i="2"/>
  <c r="NE24" i="2"/>
  <c r="NE20" i="2"/>
  <c r="NE16" i="2"/>
  <c r="NE12" i="2"/>
  <c r="TE34" i="2"/>
  <c r="TL34" i="2"/>
  <c r="TC30" i="2"/>
  <c r="VX37" i="2"/>
  <c r="NH30" i="2"/>
  <c r="NH37" i="2" s="1"/>
  <c r="ND28" i="2"/>
  <c r="NE27" i="2"/>
  <c r="NC27" i="2" s="1"/>
  <c r="NC26" i="2"/>
  <c r="NE23" i="2"/>
  <c r="NC23" i="2" s="1"/>
  <c r="NC22" i="2"/>
  <c r="NE19" i="2"/>
  <c r="NC19" i="2" s="1"/>
  <c r="NC18" i="2"/>
  <c r="NE15" i="2"/>
  <c r="NC15" i="2" s="1"/>
  <c r="NC14" i="2"/>
  <c r="VR30" i="2"/>
  <c r="VR37" i="2" s="1"/>
  <c r="VM27" i="2"/>
  <c r="VM17" i="2"/>
  <c r="TG30" i="2"/>
  <c r="TC34" i="2"/>
  <c r="RR37" i="2"/>
  <c r="RR38" i="2" s="1"/>
  <c r="VM28" i="2"/>
  <c r="VM26" i="2"/>
  <c r="VM20" i="2"/>
  <c r="WM34" i="2"/>
  <c r="WA37" i="2"/>
  <c r="VU29" i="2"/>
  <c r="VU27" i="2"/>
  <c r="VU25" i="2"/>
  <c r="VU23" i="2"/>
  <c r="VU21" i="2"/>
  <c r="VU19" i="2"/>
  <c r="VU17" i="2"/>
  <c r="VU15" i="2"/>
  <c r="VU13" i="2"/>
  <c r="WF37" i="2"/>
  <c r="VN34" i="2"/>
  <c r="WI30" i="2"/>
  <c r="WI37" i="2" s="1"/>
  <c r="WJ30" i="2"/>
  <c r="WJ37" i="2" s="1"/>
  <c r="VK34" i="2"/>
  <c r="WN30" i="2"/>
  <c r="VM16" i="2"/>
  <c r="VD34" i="2"/>
  <c r="VU34" i="2"/>
  <c r="TB30" i="2"/>
  <c r="TA22" i="2"/>
  <c r="TE17" i="2"/>
  <c r="R16" i="1" s="1"/>
  <c r="VM25" i="2"/>
  <c r="TA27" i="2"/>
  <c r="VM24" i="2"/>
  <c r="VM22" i="2"/>
  <c r="VM15" i="2"/>
  <c r="TA25" i="2"/>
  <c r="TA23" i="2"/>
  <c r="TA21" i="2"/>
  <c r="TE20" i="2"/>
  <c r="R19" i="1" s="1"/>
  <c r="TA14" i="2"/>
  <c r="NL30" i="2"/>
  <c r="NL37" i="2" s="1"/>
  <c r="VM23" i="2"/>
  <c r="VM18" i="2"/>
  <c r="RM34" i="2"/>
  <c r="RQ30" i="2"/>
  <c r="RQ37" i="2" s="1"/>
  <c r="TE28" i="2"/>
  <c r="R27" i="1" s="1"/>
  <c r="VM29" i="2"/>
  <c r="VM21" i="2"/>
  <c r="VM14" i="2"/>
  <c r="TA32" i="2"/>
  <c r="SG32" i="2" s="1"/>
  <c r="TF30" i="2"/>
  <c r="TF37" i="2" s="1"/>
  <c r="VP30" i="2"/>
  <c r="VV34" i="2"/>
  <c r="VP34" i="2"/>
  <c r="VA30" i="2"/>
  <c r="WK37" i="2"/>
  <c r="WG37" i="2"/>
  <c r="WC37" i="2"/>
  <c r="VY37" i="2"/>
  <c r="VU28" i="2"/>
  <c r="VU26" i="2"/>
  <c r="VU24" i="2"/>
  <c r="VU22" i="2"/>
  <c r="VU20" i="2"/>
  <c r="VU18" i="2"/>
  <c r="VU16" i="2"/>
  <c r="VU14" i="2"/>
  <c r="VU12" i="2"/>
  <c r="TE24" i="2"/>
  <c r="R23" i="1" s="1"/>
  <c r="VI34" i="2"/>
  <c r="VM19" i="2"/>
  <c r="WL37" i="2"/>
  <c r="WH37" i="2"/>
  <c r="WD37" i="2"/>
  <c r="VZ37" i="2"/>
  <c r="VV28" i="2"/>
  <c r="VV26" i="2"/>
  <c r="VV24" i="2"/>
  <c r="VV22" i="2"/>
  <c r="VV20" i="2"/>
  <c r="VV18" i="2"/>
  <c r="VV16" i="2"/>
  <c r="VV14" i="2"/>
  <c r="VV12" i="2"/>
  <c r="TA15" i="2"/>
  <c r="TA13" i="2"/>
  <c r="VS34" i="2"/>
  <c r="VK30" i="2"/>
  <c r="VO30" i="2"/>
  <c r="TA29" i="2"/>
  <c r="TA18" i="2"/>
  <c r="TE13" i="2"/>
  <c r="R12" i="1" s="1"/>
  <c r="VA34" i="2"/>
  <c r="VQ29" i="2"/>
  <c r="VQ24" i="2"/>
  <c r="VS30" i="2"/>
  <c r="TE26" i="2"/>
  <c r="R25" i="1" s="1"/>
  <c r="VQ25" i="2"/>
  <c r="VQ18" i="2"/>
  <c r="TA26" i="2"/>
  <c r="TE16" i="2"/>
  <c r="R15" i="1" s="1"/>
  <c r="VQ34" i="2"/>
  <c r="TK34" i="2"/>
  <c r="VO34" i="2"/>
  <c r="VI30" i="2"/>
  <c r="VM34" i="2"/>
  <c r="TA28" i="2"/>
  <c r="TE27" i="2"/>
  <c r="R26" i="1" s="1"/>
  <c r="TA24" i="2"/>
  <c r="SG24" i="2" s="1"/>
  <c r="TE23" i="2"/>
  <c r="R22" i="1" s="1"/>
  <c r="TA20" i="2"/>
  <c r="SG20" i="2" s="1"/>
  <c r="TE19" i="2"/>
  <c r="SG19" i="2" s="1"/>
  <c r="TA16" i="2"/>
  <c r="SG16" i="2" s="1"/>
  <c r="TE15" i="2"/>
  <c r="R14" i="1" s="1"/>
  <c r="TA12" i="2"/>
  <c r="SG12" i="2" s="1"/>
  <c r="TE29" i="2"/>
  <c r="R28" i="1" s="1"/>
  <c r="TE22" i="2"/>
  <c r="R21" i="1" s="1"/>
  <c r="TE18" i="2"/>
  <c r="R17" i="1" s="1"/>
  <c r="TE14" i="2"/>
  <c r="R13" i="1" s="1"/>
  <c r="VQ28" i="2"/>
  <c r="VQ27" i="2"/>
  <c r="VQ26" i="2"/>
  <c r="VQ23" i="2"/>
  <c r="VQ22" i="2"/>
  <c r="VQ21" i="2"/>
  <c r="VQ20" i="2"/>
  <c r="VQ19" i="2"/>
  <c r="VQ17" i="2"/>
  <c r="VQ16" i="2"/>
  <c r="VQ15" i="2"/>
  <c r="VQ14" i="2"/>
  <c r="TE25" i="2"/>
  <c r="R24" i="1" s="1"/>
  <c r="TE21" i="2"/>
  <c r="R20" i="1" s="1"/>
  <c r="VM13" i="2"/>
  <c r="RO30" i="2"/>
  <c r="SC30" i="2"/>
  <c r="RI30" i="2"/>
  <c r="RI34" i="2"/>
  <c r="SD37" i="2"/>
  <c r="RT37" i="2"/>
  <c r="RT38" i="2" s="1"/>
  <c r="RU34" i="2"/>
  <c r="RF30" i="2"/>
  <c r="RK34" i="2"/>
  <c r="RK37" i="2" s="1"/>
  <c r="RF34" i="2"/>
  <c r="RZ34" i="2"/>
  <c r="RO34" i="2"/>
  <c r="RZ30" i="2"/>
  <c r="RU30" i="2"/>
  <c r="RM30" i="2"/>
  <c r="NM30" i="2"/>
  <c r="NM37" i="2" s="1"/>
  <c r="NI30" i="2"/>
  <c r="NI37" i="2" s="1"/>
  <c r="NA37" i="2"/>
  <c r="MO30" i="2"/>
  <c r="MY37" i="2"/>
  <c r="MO34" i="2"/>
  <c r="MN30" i="2"/>
  <c r="ND29" i="2"/>
  <c r="ND25" i="2"/>
  <c r="ND24" i="2"/>
  <c r="ND21" i="2"/>
  <c r="ND20" i="2"/>
  <c r="ND17" i="2"/>
  <c r="ND16" i="2"/>
  <c r="ND13" i="2"/>
  <c r="ND12" i="2"/>
  <c r="MW30" i="2"/>
  <c r="MW37" i="2" s="1"/>
  <c r="MS37" i="2"/>
  <c r="BZ37" i="2"/>
  <c r="CH37" i="2"/>
  <c r="MV30" i="2"/>
  <c r="MV37" i="2" s="1"/>
  <c r="BV34" i="2"/>
  <c r="BV30" i="2"/>
  <c r="CD30" i="2"/>
  <c r="CD37" i="2" s="1"/>
  <c r="SG26" i="2" l="1"/>
  <c r="SG13" i="2"/>
  <c r="SG28" i="2"/>
  <c r="SG18" i="2"/>
  <c r="SG17" i="2"/>
  <c r="SG14" i="2"/>
  <c r="SG25" i="2"/>
  <c r="SG27" i="2"/>
  <c r="SG15" i="2"/>
  <c r="SG23" i="2"/>
  <c r="SG22" i="2"/>
  <c r="SG29" i="2"/>
  <c r="SG21" i="2"/>
  <c r="BH19" i="1"/>
  <c r="BH27" i="1"/>
  <c r="BH16" i="1"/>
  <c r="BH24" i="1"/>
  <c r="BH17" i="1"/>
  <c r="BH25" i="1"/>
  <c r="BH11" i="1"/>
  <c r="BH14" i="1"/>
  <c r="BH22" i="1"/>
  <c r="BH15" i="1"/>
  <c r="BH23" i="1"/>
  <c r="BH12" i="1"/>
  <c r="BH20" i="1"/>
  <c r="BH28" i="1"/>
  <c r="BH13" i="1"/>
  <c r="BH21" i="1"/>
  <c r="BH18" i="1"/>
  <c r="BH26" i="1"/>
  <c r="R18" i="1"/>
  <c r="SH30" i="2"/>
  <c r="TK25" i="2"/>
  <c r="AD24" i="1" s="1"/>
  <c r="TK22" i="2"/>
  <c r="AD21" i="1" s="1"/>
  <c r="TK16" i="2"/>
  <c r="AD15" i="1" s="1"/>
  <c r="TK20" i="2"/>
  <c r="AD19" i="1" s="1"/>
  <c r="TK21" i="2"/>
  <c r="AD20" i="1" s="1"/>
  <c r="TK18" i="2"/>
  <c r="AD17" i="1" s="1"/>
  <c r="TK15" i="2"/>
  <c r="AD14" i="1" s="1"/>
  <c r="TK23" i="2"/>
  <c r="AD22" i="1" s="1"/>
  <c r="TK24" i="2"/>
  <c r="AD23" i="1" s="1"/>
  <c r="TK14" i="2"/>
  <c r="AD13" i="1" s="1"/>
  <c r="TK13" i="2"/>
  <c r="AD12" i="1" s="1"/>
  <c r="TK17" i="2"/>
  <c r="AD16" i="1" s="1"/>
  <c r="TI12" i="2"/>
  <c r="TK29" i="2"/>
  <c r="AD28" i="1" s="1"/>
  <c r="TK19" i="2"/>
  <c r="AD18" i="1" s="1"/>
  <c r="TK27" i="2"/>
  <c r="AD26" i="1" s="1"/>
  <c r="TK26" i="2"/>
  <c r="AD25" i="1" s="1"/>
  <c r="TK28" i="2"/>
  <c r="AD27" i="1" s="1"/>
  <c r="NC28" i="2"/>
  <c r="TD38" i="2"/>
  <c r="TD42" i="2" s="1"/>
  <c r="NC17" i="2"/>
  <c r="NC16" i="2"/>
  <c r="NC20" i="2"/>
  <c r="NC21" i="2"/>
  <c r="NC13" i="2"/>
  <c r="NC12" i="2"/>
  <c r="NG30" i="2"/>
  <c r="NG37" i="2" s="1"/>
  <c r="NC24" i="2"/>
  <c r="NC29" i="2"/>
  <c r="NC25" i="2"/>
  <c r="TI34" i="2"/>
  <c r="TG37" i="2"/>
  <c r="VE37" i="2"/>
  <c r="VW38" i="2"/>
  <c r="VW41" i="2" s="1"/>
  <c r="VK37" i="2"/>
  <c r="WM37" i="2"/>
  <c r="WN37" i="2"/>
  <c r="SC37" i="2"/>
  <c r="RB47" i="2" s="1"/>
  <c r="RB48" i="2" s="1"/>
  <c r="WE38" i="2"/>
  <c r="WE41" i="2" s="1"/>
  <c r="TC37" i="2"/>
  <c r="RM37" i="2"/>
  <c r="VS37" i="2"/>
  <c r="VX38" i="2"/>
  <c r="VX41" i="2" s="1"/>
  <c r="NE30" i="2"/>
  <c r="NE37" i="2" s="1"/>
  <c r="VA37" i="2"/>
  <c r="WF38" i="2"/>
  <c r="WF41" i="2" s="1"/>
  <c r="VI37" i="2"/>
  <c r="TJ34" i="2"/>
  <c r="VU30" i="2"/>
  <c r="VU37" i="2" s="1"/>
  <c r="VP37" i="2"/>
  <c r="TA30" i="2"/>
  <c r="TE30" i="2"/>
  <c r="TE37" i="2" s="1"/>
  <c r="VV30" i="2"/>
  <c r="VV37" i="2" s="1"/>
  <c r="VO37" i="2"/>
  <c r="TL30" i="2"/>
  <c r="TL37" i="2" s="1"/>
  <c r="RI37" i="2"/>
  <c r="VQ30" i="2"/>
  <c r="VQ37" i="2" s="1"/>
  <c r="RO37" i="2"/>
  <c r="RE47" i="2" s="1"/>
  <c r="RE48" i="2" s="1"/>
  <c r="VN30" i="2"/>
  <c r="VN37" i="2" s="1"/>
  <c r="VM12" i="2"/>
  <c r="VM30" i="2" s="1"/>
  <c r="VM37" i="2" s="1"/>
  <c r="RU37" i="2"/>
  <c r="TJ30" i="2"/>
  <c r="RA46" i="2"/>
  <c r="RA48" i="2" s="1"/>
  <c r="RF37" i="2"/>
  <c r="RZ37" i="2"/>
  <c r="NK37" i="2"/>
  <c r="BZ38" i="2"/>
  <c r="BZ42" i="2" s="1"/>
  <c r="MO37" i="2"/>
  <c r="MU37" i="2"/>
  <c r="ND30" i="2"/>
  <c r="ND37" i="2" s="1"/>
  <c r="BV37" i="2"/>
  <c r="BV38" i="2" s="1"/>
  <c r="SH47" i="2" l="1"/>
  <c r="SH46" i="2"/>
  <c r="SG46" i="2"/>
  <c r="TK30" i="2"/>
  <c r="TK37" i="2" s="1"/>
  <c r="SG47" i="2" s="1"/>
  <c r="TI17" i="2"/>
  <c r="TI14" i="2"/>
  <c r="TI23" i="2"/>
  <c r="TI18" i="2"/>
  <c r="TI16" i="2"/>
  <c r="TI25" i="2"/>
  <c r="TI26" i="2"/>
  <c r="TI19" i="2"/>
  <c r="SG30" i="2"/>
  <c r="TI13" i="2"/>
  <c r="TI24" i="2"/>
  <c r="TI15" i="2"/>
  <c r="TI21" i="2"/>
  <c r="TI20" i="2"/>
  <c r="TI22" i="2"/>
  <c r="TI28" i="2"/>
  <c r="TI27" i="2"/>
  <c r="TI29" i="2"/>
  <c r="C60" i="7"/>
  <c r="NC30" i="2"/>
  <c r="NC37" i="2" s="1"/>
  <c r="TC38" i="2"/>
  <c r="TJ37" i="2"/>
  <c r="SH48" i="2" s="1"/>
  <c r="TI30" i="2" l="1"/>
  <c r="TI37" i="2" s="1"/>
  <c r="SH49" i="2"/>
  <c r="SG48" i="2" l="1"/>
  <c r="SG49" i="2" s="1"/>
  <c r="U32" i="6"/>
  <c r="CC31" i="17" s="1"/>
  <c r="CD31" i="17" s="1"/>
  <c r="U31" i="6"/>
  <c r="CC30" i="17" s="1"/>
  <c r="CD30" i="17" s="1"/>
  <c r="U12" i="6"/>
  <c r="CC11" i="17" s="1"/>
  <c r="CD11" i="17" s="1"/>
  <c r="U13" i="6"/>
  <c r="CC12" i="17" s="1"/>
  <c r="CD12" i="17" s="1"/>
  <c r="U14" i="6"/>
  <c r="CC13" i="17" s="1"/>
  <c r="CD13" i="17" s="1"/>
  <c r="U15" i="6"/>
  <c r="CC14" i="17" s="1"/>
  <c r="CD14" i="17" s="1"/>
  <c r="U16" i="6"/>
  <c r="CC15" i="17" s="1"/>
  <c r="CD15" i="17" s="1"/>
  <c r="U17" i="6"/>
  <c r="CC16" i="17" s="1"/>
  <c r="CD16" i="17" s="1"/>
  <c r="U18" i="6"/>
  <c r="CC17" i="17" s="1"/>
  <c r="CD17" i="17" s="1"/>
  <c r="U19" i="6"/>
  <c r="CC18" i="17" s="1"/>
  <c r="CD18" i="17" s="1"/>
  <c r="U20" i="6"/>
  <c r="CC19" i="17" s="1"/>
  <c r="CD19" i="17" s="1"/>
  <c r="U21" i="6"/>
  <c r="CC20" i="17" s="1"/>
  <c r="CD20" i="17" s="1"/>
  <c r="U22" i="6"/>
  <c r="CC21" i="17" s="1"/>
  <c r="CD21" i="17" s="1"/>
  <c r="U23" i="6"/>
  <c r="CC22" i="17" s="1"/>
  <c r="CD22" i="17" s="1"/>
  <c r="U24" i="6"/>
  <c r="CC23" i="17" s="1"/>
  <c r="CD23" i="17" s="1"/>
  <c r="U25" i="6"/>
  <c r="CC24" i="17" s="1"/>
  <c r="CD24" i="17" s="1"/>
  <c r="U26" i="6"/>
  <c r="CC25" i="17" s="1"/>
  <c r="CD25" i="17" s="1"/>
  <c r="U27" i="6"/>
  <c r="CC26" i="17" s="1"/>
  <c r="CD26" i="17" s="1"/>
  <c r="U28" i="6"/>
  <c r="CC27" i="17" s="1"/>
  <c r="CD27" i="17" s="1"/>
  <c r="U11" i="6"/>
  <c r="CC10" i="17" s="1"/>
  <c r="CC28" i="17" l="1"/>
  <c r="CD10" i="17"/>
  <c r="CD28" i="17" s="1"/>
  <c r="CD32" i="17"/>
  <c r="CC32" i="17"/>
  <c r="EN33" i="2"/>
  <c r="EN32" i="2"/>
  <c r="EN29" i="2"/>
  <c r="EN28" i="2"/>
  <c r="EN27" i="2"/>
  <c r="EN26" i="2"/>
  <c r="EN25" i="2"/>
  <c r="EN24" i="2"/>
  <c r="EN23" i="2"/>
  <c r="EN22" i="2"/>
  <c r="EN21" i="2"/>
  <c r="EN20" i="2"/>
  <c r="EN19" i="2"/>
  <c r="EN18" i="2"/>
  <c r="EN17" i="2"/>
  <c r="EN16" i="2"/>
  <c r="EN15" i="2"/>
  <c r="EN14" i="2"/>
  <c r="EN13" i="2"/>
  <c r="EN12" i="2"/>
  <c r="ER34" i="2"/>
  <c r="EQ34" i="2"/>
  <c r="ER30" i="2"/>
  <c r="EQ30" i="2"/>
  <c r="EO30" i="2"/>
  <c r="EP30" i="2"/>
  <c r="EO34" i="2"/>
  <c r="EP34" i="2"/>
  <c r="CD35" i="17" l="1"/>
  <c r="CC35" i="17"/>
  <c r="EP37" i="2"/>
  <c r="EP42" i="2" s="1"/>
  <c r="EN34" i="2"/>
  <c r="T32" i="6"/>
  <c r="BY31" i="17" s="1"/>
  <c r="BZ31" i="17" s="1"/>
  <c r="T26" i="6"/>
  <c r="BY25" i="17" s="1"/>
  <c r="BZ25" i="17" s="1"/>
  <c r="T22" i="6"/>
  <c r="BY21" i="17" s="1"/>
  <c r="BZ21" i="17" s="1"/>
  <c r="T18" i="6"/>
  <c r="BY17" i="17" s="1"/>
  <c r="BZ17" i="17" s="1"/>
  <c r="T14" i="6"/>
  <c r="BY13" i="17" s="1"/>
  <c r="BZ13" i="17" s="1"/>
  <c r="T11" i="6"/>
  <c r="BY10" i="17" s="1"/>
  <c r="BZ10" i="17" s="1"/>
  <c r="T27" i="6"/>
  <c r="BY26" i="17" s="1"/>
  <c r="BZ26" i="17" s="1"/>
  <c r="T25" i="6"/>
  <c r="BY24" i="17" s="1"/>
  <c r="BZ24" i="17" s="1"/>
  <c r="T23" i="6"/>
  <c r="BY22" i="17" s="1"/>
  <c r="BZ22" i="17" s="1"/>
  <c r="T21" i="6"/>
  <c r="BY20" i="17" s="1"/>
  <c r="BZ20" i="17" s="1"/>
  <c r="T19" i="6"/>
  <c r="BY18" i="17" s="1"/>
  <c r="BZ18" i="17" s="1"/>
  <c r="T17" i="6"/>
  <c r="BY16" i="17" s="1"/>
  <c r="BZ16" i="17" s="1"/>
  <c r="T15" i="6"/>
  <c r="BY14" i="17" s="1"/>
  <c r="BZ14" i="17" s="1"/>
  <c r="T13" i="6"/>
  <c r="BY12" i="17" s="1"/>
  <c r="BZ12" i="17" s="1"/>
  <c r="EQ37" i="2"/>
  <c r="EN30" i="2"/>
  <c r="EO37" i="2"/>
  <c r="EO42" i="2" s="1"/>
  <c r="ER37" i="2"/>
  <c r="EI33" i="2"/>
  <c r="EI28" i="2"/>
  <c r="EI24" i="2"/>
  <c r="EI20" i="2"/>
  <c r="EI16" i="2"/>
  <c r="EI12" i="2"/>
  <c r="EL34" i="2"/>
  <c r="EL30" i="2"/>
  <c r="EI27" i="2"/>
  <c r="EI23" i="2"/>
  <c r="EI19" i="2"/>
  <c r="EI15" i="2"/>
  <c r="EM30" i="2"/>
  <c r="EI21" i="2"/>
  <c r="T20" i="6"/>
  <c r="BY19" i="17" s="1"/>
  <c r="BZ19" i="17" s="1"/>
  <c r="EI17" i="2"/>
  <c r="T16" i="6"/>
  <c r="BY15" i="17" s="1"/>
  <c r="BZ15" i="17" s="1"/>
  <c r="EI13" i="2"/>
  <c r="T12" i="6"/>
  <c r="BY11" i="17" s="1"/>
  <c r="BZ11" i="17" s="1"/>
  <c r="EM34" i="2"/>
  <c r="T31" i="6"/>
  <c r="BY30" i="17" s="1"/>
  <c r="EI26" i="2"/>
  <c r="EI22" i="2"/>
  <c r="EI18" i="2"/>
  <c r="EI14" i="2"/>
  <c r="EI29" i="2"/>
  <c r="T28" i="6"/>
  <c r="BY27" i="17" s="1"/>
  <c r="BZ27" i="17" s="1"/>
  <c r="EI25" i="2"/>
  <c r="T24" i="6"/>
  <c r="BY23" i="17" s="1"/>
  <c r="BZ23" i="17" s="1"/>
  <c r="EI32" i="2"/>
  <c r="EK30" i="2"/>
  <c r="EJ34" i="2"/>
  <c r="EJ30" i="2"/>
  <c r="EK34" i="2"/>
  <c r="F409" i="8" l="1"/>
  <c r="F410" i="8" s="1"/>
  <c r="ER42" i="2"/>
  <c r="F406" i="8"/>
  <c r="EQ42" i="2"/>
  <c r="CC36" i="17"/>
  <c r="BZ28" i="17"/>
  <c r="BY32" i="17"/>
  <c r="BZ30" i="17"/>
  <c r="BZ32" i="17" s="1"/>
  <c r="BY28" i="17"/>
  <c r="F407" i="8"/>
  <c r="EN37" i="2"/>
  <c r="C13" i="7"/>
  <c r="EL37" i="2"/>
  <c r="E406" i="8" s="1"/>
  <c r="EM37" i="2"/>
  <c r="E409" i="8" s="1"/>
  <c r="E410" i="8" s="1"/>
  <c r="EK37" i="2"/>
  <c r="EI30" i="2"/>
  <c r="EI34" i="2"/>
  <c r="EJ37" i="2"/>
  <c r="BZ35" i="17" l="1"/>
  <c r="BY35" i="17"/>
  <c r="E407" i="8"/>
  <c r="B13" i="7"/>
  <c r="EI37" i="2"/>
  <c r="ME12" i="2"/>
  <c r="ME13" i="2"/>
  <c r="ME14" i="2"/>
  <c r="ML14" i="2" s="1"/>
  <c r="MJ14" i="2" s="1"/>
  <c r="ME15" i="2"/>
  <c r="ML15" i="2" s="1"/>
  <c r="MJ15" i="2" s="1"/>
  <c r="ME16" i="2"/>
  <c r="ME17" i="2"/>
  <c r="ML17" i="2" s="1"/>
  <c r="ME18" i="2"/>
  <c r="ML18" i="2" s="1"/>
  <c r="MJ18" i="2" s="1"/>
  <c r="ME19" i="2"/>
  <c r="ME20" i="2"/>
  <c r="ML20" i="2" s="1"/>
  <c r="ME21" i="2"/>
  <c r="ME22" i="2"/>
  <c r="ML22" i="2" s="1"/>
  <c r="ME23" i="2"/>
  <c r="ML23" i="2" s="1"/>
  <c r="MJ23" i="2" s="1"/>
  <c r="ME24" i="2"/>
  <c r="ME25" i="2"/>
  <c r="ML25" i="2" s="1"/>
  <c r="ME26" i="2"/>
  <c r="ML26" i="2" s="1"/>
  <c r="MJ26" i="2" s="1"/>
  <c r="ME27" i="2"/>
  <c r="ML27" i="2" s="1"/>
  <c r="MJ27" i="2" s="1"/>
  <c r="ME28" i="2"/>
  <c r="ME29" i="2"/>
  <c r="ML29" i="2" s="1"/>
  <c r="MJ29" i="2" s="1"/>
  <c r="LL30" i="2"/>
  <c r="LM30" i="2"/>
  <c r="LY30" i="2"/>
  <c r="LZ30" i="2"/>
  <c r="LW30" i="2"/>
  <c r="MF30" i="2"/>
  <c r="MG30" i="2"/>
  <c r="MH30" i="2"/>
  <c r="LL34" i="2"/>
  <c r="LM34" i="2"/>
  <c r="LY34" i="2"/>
  <c r="LZ34" i="2"/>
  <c r="LW34" i="2"/>
  <c r="MA34" i="2"/>
  <c r="ME34" i="2"/>
  <c r="MF34" i="2"/>
  <c r="MG34" i="2"/>
  <c r="MH34" i="2"/>
  <c r="MI34" i="2"/>
  <c r="MJ34" i="2"/>
  <c r="MK34" i="2"/>
  <c r="ML34" i="2"/>
  <c r="LL40" i="2"/>
  <c r="LE61" i="2"/>
  <c r="LF61" i="2"/>
  <c r="LG61" i="2"/>
  <c r="LK61" i="2"/>
  <c r="BY36" i="17" l="1"/>
  <c r="MF37" i="2"/>
  <c r="MF42" i="2" s="1"/>
  <c r="MG37" i="2"/>
  <c r="MH42" i="2" s="1"/>
  <c r="LZ37" i="2"/>
  <c r="LZ42" i="2" s="1"/>
  <c r="LW37" i="2"/>
  <c r="LM37" i="2"/>
  <c r="LM42" i="2" s="1"/>
  <c r="LL37" i="2"/>
  <c r="LL42" i="2" s="1"/>
  <c r="MH37" i="2"/>
  <c r="LK55" i="2"/>
  <c r="LK54" i="2"/>
  <c r="LT34" i="2"/>
  <c r="LY37" i="2"/>
  <c r="LY42" i="2" s="1"/>
  <c r="LR30" i="2"/>
  <c r="MC34" i="2"/>
  <c r="MA12" i="2"/>
  <c r="MK12" i="2" s="1"/>
  <c r="MI12" i="2" s="1"/>
  <c r="MA19" i="2"/>
  <c r="MA21" i="2"/>
  <c r="MK21" i="2" s="1"/>
  <c r="MI21" i="2" s="1"/>
  <c r="MA25" i="2"/>
  <c r="MA18" i="2"/>
  <c r="ML19" i="2"/>
  <c r="MJ19" i="2" s="1"/>
  <c r="MA17" i="2"/>
  <c r="MJ25" i="2"/>
  <c r="MJ20" i="2"/>
  <c r="MA14" i="2"/>
  <c r="MA13" i="2"/>
  <c r="MK13" i="2" s="1"/>
  <c r="MI13" i="2" s="1"/>
  <c r="LU34" i="2"/>
  <c r="ML24" i="2"/>
  <c r="MJ24" i="2" s="1"/>
  <c r="MJ17" i="2"/>
  <c r="LU30" i="2"/>
  <c r="LG30" i="2"/>
  <c r="MB30" i="2"/>
  <c r="MJ22" i="2"/>
  <c r="ML21" i="2"/>
  <c r="MJ21" i="2" s="1"/>
  <c r="ML16" i="2"/>
  <c r="MJ16" i="2" s="1"/>
  <c r="ML28" i="2"/>
  <c r="MJ28" i="2" s="1"/>
  <c r="ML13" i="2"/>
  <c r="MJ13" i="2" s="1"/>
  <c r="ML12" i="2"/>
  <c r="MA29" i="2"/>
  <c r="MA27" i="2"/>
  <c r="MK27" i="2" s="1"/>
  <c r="MI27" i="2" s="1"/>
  <c r="MC30" i="2"/>
  <c r="LF30" i="2"/>
  <c r="MA22" i="2"/>
  <c r="MA20" i="2"/>
  <c r="MK20" i="2" s="1"/>
  <c r="MI20" i="2" s="1"/>
  <c r="MB34" i="2"/>
  <c r="LF34" i="2"/>
  <c r="MD30" i="2"/>
  <c r="MA26" i="2"/>
  <c r="MK26" i="2" s="1"/>
  <c r="MI26" i="2" s="1"/>
  <c r="MA24" i="2"/>
  <c r="MA15" i="2"/>
  <c r="MD34" i="2"/>
  <c r="MA23" i="2"/>
  <c r="MA16" i="2"/>
  <c r="MK16" i="2" s="1"/>
  <c r="MI16" i="2" s="1"/>
  <c r="LG34" i="2"/>
  <c r="LR34" i="2"/>
  <c r="ME30" i="2"/>
  <c r="ME37" i="2" s="1"/>
  <c r="LT30" i="2"/>
  <c r="MA28" i="2"/>
  <c r="MK17" i="2" l="1"/>
  <c r="MI17" i="2" s="1"/>
  <c r="MK14" i="2"/>
  <c r="MI14" i="2" s="1"/>
  <c r="MK18" i="2"/>
  <c r="MI18" i="2" s="1"/>
  <c r="MK19" i="2"/>
  <c r="MI19" i="2" s="1"/>
  <c r="MC37" i="2"/>
  <c r="LK53" i="2"/>
  <c r="LK57" i="2" s="1"/>
  <c r="LR37" i="2"/>
  <c r="LT37" i="2"/>
  <c r="LV34" i="2"/>
  <c r="MB37" i="2"/>
  <c r="MK25" i="2"/>
  <c r="MI25" i="2" s="1"/>
  <c r="LF37" i="2"/>
  <c r="MK15" i="2"/>
  <c r="MI15" i="2" s="1"/>
  <c r="MK24" i="2"/>
  <c r="MI24" i="2" s="1"/>
  <c r="LG37" i="2"/>
  <c r="LU37" i="2"/>
  <c r="MK22" i="2"/>
  <c r="MI22" i="2" s="1"/>
  <c r="MK23" i="2"/>
  <c r="MI23" i="2" s="1"/>
  <c r="LE34" i="2"/>
  <c r="LE55" i="2" s="1"/>
  <c r="MK29" i="2"/>
  <c r="MI29" i="2" s="1"/>
  <c r="LE30" i="2"/>
  <c r="ML30" i="2"/>
  <c r="ML37" i="2" s="1"/>
  <c r="MJ12" i="2"/>
  <c r="MJ30" i="2" s="1"/>
  <c r="MJ37" i="2" s="1"/>
  <c r="MD37" i="2"/>
  <c r="MA30" i="2"/>
  <c r="MA37" i="2" s="1"/>
  <c r="MK28" i="2"/>
  <c r="MI28" i="2" s="1"/>
  <c r="LQ34" i="2" l="1"/>
  <c r="LE37" i="2"/>
  <c r="LE53" i="2" s="1"/>
  <c r="LE54" i="2"/>
  <c r="MI30" i="2"/>
  <c r="MI37" i="2" s="1"/>
  <c r="MK30" i="2"/>
  <c r="MK37" i="2" s="1"/>
  <c r="LV30" i="2"/>
  <c r="LV37" i="2" s="1"/>
  <c r="LQ30" i="2" l="1"/>
  <c r="LQ37" i="2" s="1"/>
  <c r="LE57" i="2"/>
  <c r="S32" i="6"/>
  <c r="BU31" i="17" s="1"/>
  <c r="BV31" i="17" s="1"/>
  <c r="S31" i="6"/>
  <c r="BU30" i="17" s="1"/>
  <c r="BV30" i="17" s="1"/>
  <c r="S12" i="6"/>
  <c r="BU11" i="17" s="1"/>
  <c r="BV11" i="17" s="1"/>
  <c r="S13" i="6"/>
  <c r="BU12" i="17" s="1"/>
  <c r="BV12" i="17" s="1"/>
  <c r="S14" i="6"/>
  <c r="BU13" i="17" s="1"/>
  <c r="BV13" i="17" s="1"/>
  <c r="S15" i="6"/>
  <c r="BU14" i="17" s="1"/>
  <c r="BV14" i="17" s="1"/>
  <c r="S16" i="6"/>
  <c r="BU15" i="17" s="1"/>
  <c r="BV15" i="17" s="1"/>
  <c r="S17" i="6"/>
  <c r="BU16" i="17" s="1"/>
  <c r="BV16" i="17" s="1"/>
  <c r="S18" i="6"/>
  <c r="BU17" i="17" s="1"/>
  <c r="BV17" i="17" s="1"/>
  <c r="S19" i="6"/>
  <c r="BU18" i="17" s="1"/>
  <c r="BV18" i="17" s="1"/>
  <c r="S20" i="6"/>
  <c r="BU19" i="17" s="1"/>
  <c r="BV19" i="17" s="1"/>
  <c r="S21" i="6"/>
  <c r="BU20" i="17" s="1"/>
  <c r="BV20" i="17" s="1"/>
  <c r="S22" i="6"/>
  <c r="BU21" i="17" s="1"/>
  <c r="BV21" i="17" s="1"/>
  <c r="S23" i="6"/>
  <c r="BU22" i="17" s="1"/>
  <c r="BV22" i="17" s="1"/>
  <c r="S24" i="6"/>
  <c r="BU23" i="17" s="1"/>
  <c r="BV23" i="17" s="1"/>
  <c r="S25" i="6"/>
  <c r="BU24" i="17" s="1"/>
  <c r="BV24" i="17" s="1"/>
  <c r="S26" i="6"/>
  <c r="BU25" i="17" s="1"/>
  <c r="BV25" i="17" s="1"/>
  <c r="S27" i="6"/>
  <c r="BU26" i="17" s="1"/>
  <c r="BV26" i="17" s="1"/>
  <c r="S28" i="6"/>
  <c r="BU27" i="17" s="1"/>
  <c r="BV27" i="17" s="1"/>
  <c r="S11" i="6"/>
  <c r="BU10" i="17" s="1"/>
  <c r="BV10" i="17" s="1"/>
  <c r="R32" i="6"/>
  <c r="BQ31" i="17" s="1"/>
  <c r="BR31" i="17" s="1"/>
  <c r="R31" i="6"/>
  <c r="BQ30" i="17" s="1"/>
  <c r="BR30" i="17" s="1"/>
  <c r="R12" i="6"/>
  <c r="BQ11" i="17" s="1"/>
  <c r="BR11" i="17" s="1"/>
  <c r="R13" i="6"/>
  <c r="BQ12" i="17" s="1"/>
  <c r="BR12" i="17" s="1"/>
  <c r="R14" i="6"/>
  <c r="BQ13" i="17" s="1"/>
  <c r="BR13" i="17" s="1"/>
  <c r="R15" i="6"/>
  <c r="BQ14" i="17" s="1"/>
  <c r="BR14" i="17" s="1"/>
  <c r="R16" i="6"/>
  <c r="BQ15" i="17" s="1"/>
  <c r="BR15" i="17" s="1"/>
  <c r="R17" i="6"/>
  <c r="BQ16" i="17" s="1"/>
  <c r="BR16" i="17" s="1"/>
  <c r="R18" i="6"/>
  <c r="BQ17" i="17" s="1"/>
  <c r="BR17" i="17" s="1"/>
  <c r="R19" i="6"/>
  <c r="BQ18" i="17" s="1"/>
  <c r="BR18" i="17" s="1"/>
  <c r="R20" i="6"/>
  <c r="BQ19" i="17" s="1"/>
  <c r="BR19" i="17" s="1"/>
  <c r="R21" i="6"/>
  <c r="BQ20" i="17" s="1"/>
  <c r="BR20" i="17" s="1"/>
  <c r="R22" i="6"/>
  <c r="BQ21" i="17" s="1"/>
  <c r="BR21" i="17" s="1"/>
  <c r="R23" i="6"/>
  <c r="BQ22" i="17" s="1"/>
  <c r="BR22" i="17" s="1"/>
  <c r="R24" i="6"/>
  <c r="BQ23" i="17" s="1"/>
  <c r="BR23" i="17" s="1"/>
  <c r="R25" i="6"/>
  <c r="BQ24" i="17" s="1"/>
  <c r="BR24" i="17" s="1"/>
  <c r="R26" i="6"/>
  <c r="BQ25" i="17" s="1"/>
  <c r="BR25" i="17" s="1"/>
  <c r="R27" i="6"/>
  <c r="BQ26" i="17" s="1"/>
  <c r="BR26" i="17" s="1"/>
  <c r="R28" i="6"/>
  <c r="BQ27" i="17" s="1"/>
  <c r="BR27" i="17" s="1"/>
  <c r="R11" i="6"/>
  <c r="BQ10" i="17" s="1"/>
  <c r="BR10" i="17" s="1"/>
  <c r="BV32" i="17" l="1"/>
  <c r="BR32" i="17"/>
  <c r="BR28" i="17"/>
  <c r="BV28" i="17"/>
  <c r="BQ28" i="17"/>
  <c r="BU28" i="17"/>
  <c r="BQ32" i="17"/>
  <c r="BU32" i="17"/>
  <c r="F400" i="8"/>
  <c r="E400" i="8"/>
  <c r="BR35" i="17" l="1"/>
  <c r="BV35" i="17"/>
  <c r="BU35" i="17"/>
  <c r="BQ35" i="17"/>
  <c r="F401" i="8"/>
  <c r="E401" i="8"/>
  <c r="C12" i="7"/>
  <c r="F403" i="8"/>
  <c r="F404" i="8" s="1"/>
  <c r="E403" i="8"/>
  <c r="E404" i="8" s="1"/>
  <c r="B12" i="7"/>
  <c r="BU36" i="17" l="1"/>
  <c r="BQ36" i="17"/>
  <c r="H404" i="8"/>
  <c r="H401" i="8"/>
  <c r="J400" i="8"/>
  <c r="AA32" i="6"/>
  <c r="DA31" i="17" s="1"/>
  <c r="DB31" i="17" s="1"/>
  <c r="AA31" i="6"/>
  <c r="DA30" i="17" s="1"/>
  <c r="AA12" i="6"/>
  <c r="DA11" i="17" s="1"/>
  <c r="AA13" i="6"/>
  <c r="DA12" i="17" s="1"/>
  <c r="AA14" i="6"/>
  <c r="DA13" i="17" s="1"/>
  <c r="AA15" i="6"/>
  <c r="DA14" i="17" s="1"/>
  <c r="AA16" i="6"/>
  <c r="DA15" i="17" s="1"/>
  <c r="AA17" i="6"/>
  <c r="DA16" i="17" s="1"/>
  <c r="AA18" i="6"/>
  <c r="DA17" i="17" s="1"/>
  <c r="AA19" i="6"/>
  <c r="DA18" i="17" s="1"/>
  <c r="AA20" i="6"/>
  <c r="DA19" i="17" s="1"/>
  <c r="AA21" i="6"/>
  <c r="DA20" i="17" s="1"/>
  <c r="AA22" i="6"/>
  <c r="DA21" i="17" s="1"/>
  <c r="AA23" i="6"/>
  <c r="DA22" i="17" s="1"/>
  <c r="AA24" i="6"/>
  <c r="DA23" i="17" s="1"/>
  <c r="AA25" i="6"/>
  <c r="DA24" i="17" s="1"/>
  <c r="AA26" i="6"/>
  <c r="DA25" i="17" s="1"/>
  <c r="AA27" i="6"/>
  <c r="DA26" i="17" s="1"/>
  <c r="AA28" i="6"/>
  <c r="DA27" i="17" s="1"/>
  <c r="AA11" i="6"/>
  <c r="DA10" i="17" s="1"/>
  <c r="DA32" i="17" l="1"/>
  <c r="DB30" i="17"/>
  <c r="DB32" i="17" s="1"/>
  <c r="DB35" i="17" s="1"/>
  <c r="DA28" i="17"/>
  <c r="AA33" i="6"/>
  <c r="H400" i="8"/>
  <c r="G403" i="8"/>
  <c r="H403" i="8"/>
  <c r="I405" i="8"/>
  <c r="H402" i="8"/>
  <c r="H405" i="8"/>
  <c r="G400" i="8"/>
  <c r="G401" i="8" s="1"/>
  <c r="I401" i="8" s="1"/>
  <c r="AA29" i="6"/>
  <c r="Z32" i="6"/>
  <c r="CW31" i="17" s="1"/>
  <c r="CX31" i="17" s="1"/>
  <c r="Z31" i="6"/>
  <c r="CW30" i="17" s="1"/>
  <c r="CX30" i="17" s="1"/>
  <c r="Z12" i="6"/>
  <c r="CW11" i="17" s="1"/>
  <c r="Z13" i="6"/>
  <c r="CW12" i="17" s="1"/>
  <c r="Z14" i="6"/>
  <c r="CW13" i="17" s="1"/>
  <c r="Z16" i="6"/>
  <c r="CW15" i="17" s="1"/>
  <c r="Z17" i="6"/>
  <c r="CW16" i="17" s="1"/>
  <c r="Z18" i="6"/>
  <c r="CW17" i="17" s="1"/>
  <c r="Z19" i="6"/>
  <c r="CW18" i="17" s="1"/>
  <c r="Z20" i="6"/>
  <c r="CW19" i="17" s="1"/>
  <c r="Z21" i="6"/>
  <c r="CW20" i="17" s="1"/>
  <c r="Z22" i="6"/>
  <c r="CW21" i="17" s="1"/>
  <c r="Z23" i="6"/>
  <c r="CW22" i="17" s="1"/>
  <c r="Z24" i="6"/>
  <c r="CW23" i="17" s="1"/>
  <c r="Z25" i="6"/>
  <c r="CW24" i="17" s="1"/>
  <c r="Z26" i="6"/>
  <c r="CW25" i="17" s="1"/>
  <c r="Z27" i="6"/>
  <c r="CW26" i="17" s="1"/>
  <c r="Z28" i="6"/>
  <c r="CW27" i="17" s="1"/>
  <c r="Z11" i="6"/>
  <c r="CW10" i="17" s="1"/>
  <c r="DA35" i="17" l="1"/>
  <c r="DA36" i="17" s="1"/>
  <c r="CX32" i="17"/>
  <c r="CX35" i="17" s="1"/>
  <c r="CW32" i="17"/>
  <c r="AA36" i="6"/>
  <c r="I403" i="8"/>
  <c r="G404" i="8"/>
  <c r="I404" i="8" s="1"/>
  <c r="Z15" i="6"/>
  <c r="Z33" i="6"/>
  <c r="I402" i="8"/>
  <c r="I400" i="8"/>
  <c r="FJ34" i="2"/>
  <c r="FI34" i="2"/>
  <c r="FH33" i="2"/>
  <c r="FH32" i="2"/>
  <c r="FG34" i="2"/>
  <c r="FE32" i="2"/>
  <c r="FJ30" i="2"/>
  <c r="FI30" i="2"/>
  <c r="FH29" i="2"/>
  <c r="FE29" i="2"/>
  <c r="FH28" i="2"/>
  <c r="FE28" i="2"/>
  <c r="FH27" i="2"/>
  <c r="FE27" i="2"/>
  <c r="FH26" i="2"/>
  <c r="FE26" i="2"/>
  <c r="FH25" i="2"/>
  <c r="FE25" i="2"/>
  <c r="FH24" i="2"/>
  <c r="FE24" i="2"/>
  <c r="FH23" i="2"/>
  <c r="FE23" i="2"/>
  <c r="FH22" i="2"/>
  <c r="FE22" i="2"/>
  <c r="FH21" i="2"/>
  <c r="FE21" i="2"/>
  <c r="FH20" i="2"/>
  <c r="FE20" i="2"/>
  <c r="FH19" i="2"/>
  <c r="FE19" i="2"/>
  <c r="FH18" i="2"/>
  <c r="FE18" i="2"/>
  <c r="FH17" i="2"/>
  <c r="FE17" i="2"/>
  <c r="FH16" i="2"/>
  <c r="FE16" i="2"/>
  <c r="FH15" i="2"/>
  <c r="FE15" i="2"/>
  <c r="FH14" i="2"/>
  <c r="FE14" i="2"/>
  <c r="FH13" i="2"/>
  <c r="FE13" i="2"/>
  <c r="FH12" i="2"/>
  <c r="FE12" i="2"/>
  <c r="FF30" i="2"/>
  <c r="FJ37" i="2" l="1"/>
  <c r="FJ42" i="2" s="1"/>
  <c r="Z29" i="6"/>
  <c r="Z36" i="6" s="1"/>
  <c r="CW14" i="17"/>
  <c r="CW28" i="17" s="1"/>
  <c r="CW35" i="17" s="1"/>
  <c r="CW36" i="17" s="1"/>
  <c r="FI37" i="2"/>
  <c r="Y29" i="6"/>
  <c r="Y33" i="6"/>
  <c r="X33" i="6"/>
  <c r="X29" i="6"/>
  <c r="H198" i="8"/>
  <c r="H196" i="8"/>
  <c r="G196" i="8"/>
  <c r="FH30" i="2"/>
  <c r="FH34" i="2"/>
  <c r="FE30" i="2"/>
  <c r="FG30" i="2"/>
  <c r="FG37" i="2" s="1"/>
  <c r="C18" i="7" l="1"/>
  <c r="F219" i="8"/>
  <c r="F222" i="8" s="1"/>
  <c r="F215" i="8"/>
  <c r="F218" i="8" s="1"/>
  <c r="FI42" i="2"/>
  <c r="Y36" i="6"/>
  <c r="X36" i="6"/>
  <c r="G198" i="8"/>
  <c r="I196" i="8"/>
  <c r="H194" i="8"/>
  <c r="FH37" i="2"/>
  <c r="E219" i="8"/>
  <c r="E222" i="8" s="1"/>
  <c r="G222" i="8" s="1"/>
  <c r="I222" i="8" s="1"/>
  <c r="B18" i="7"/>
  <c r="U33" i="6"/>
  <c r="T33" i="6"/>
  <c r="U29" i="6"/>
  <c r="T29" i="6"/>
  <c r="J215" i="8"/>
  <c r="H222" i="8" l="1"/>
  <c r="I198" i="8"/>
  <c r="G199" i="8"/>
  <c r="I199" i="8" s="1"/>
  <c r="I194" i="8"/>
  <c r="U36" i="6"/>
  <c r="G219" i="8"/>
  <c r="T36" i="6"/>
  <c r="H219" i="8"/>
  <c r="I219" i="8" l="1"/>
  <c r="AW30" i="3" l="1"/>
  <c r="AW26" i="3"/>
  <c r="AV26" i="3" l="1"/>
  <c r="AV30" i="3"/>
  <c r="AW33" i="3"/>
  <c r="AW38" i="3" s="1"/>
  <c r="AV33" i="3" l="1"/>
  <c r="AV38" i="3" s="1"/>
  <c r="H162" i="8" l="1"/>
  <c r="G162" i="8"/>
  <c r="I162" i="8" s="1"/>
  <c r="D55" i="11"/>
  <c r="J16" i="11"/>
  <c r="J28" i="11"/>
  <c r="QV13" i="2"/>
  <c r="QZ13" i="2"/>
  <c r="QV14" i="2"/>
  <c r="QZ14" i="2"/>
  <c r="QV15" i="2"/>
  <c r="QZ15" i="2"/>
  <c r="QV16" i="2"/>
  <c r="QZ16" i="2"/>
  <c r="QV17" i="2"/>
  <c r="QZ17" i="2"/>
  <c r="QV18" i="2"/>
  <c r="QZ18" i="2"/>
  <c r="QV19" i="2"/>
  <c r="QZ19" i="2"/>
  <c r="QV20" i="2"/>
  <c r="QZ20" i="2"/>
  <c r="QV21" i="2"/>
  <c r="QZ21" i="2"/>
  <c r="QV22" i="2"/>
  <c r="QZ22" i="2"/>
  <c r="QV23" i="2"/>
  <c r="QZ23" i="2"/>
  <c r="QV24" i="2"/>
  <c r="QZ24" i="2"/>
  <c r="QV25" i="2"/>
  <c r="QZ25" i="2"/>
  <c r="QV26" i="2"/>
  <c r="QZ26" i="2"/>
  <c r="QV27" i="2"/>
  <c r="QZ27" i="2"/>
  <c r="QV28" i="2"/>
  <c r="QZ28" i="2"/>
  <c r="QV29" i="2"/>
  <c r="QZ29" i="2"/>
  <c r="QV12" i="2"/>
  <c r="QZ12" i="2"/>
  <c r="CM26" i="4"/>
  <c r="CI26" i="4"/>
  <c r="BE36" i="3" s="1"/>
  <c r="CJ8" i="4"/>
  <c r="CK8" i="4"/>
  <c r="BE30" i="3"/>
  <c r="BE26" i="3"/>
  <c r="CK26" i="4" l="1"/>
  <c r="QZ30" i="2"/>
  <c r="QZ37" i="2" s="1"/>
  <c r="QV30" i="2"/>
  <c r="QV37" i="2" s="1"/>
  <c r="BE33" i="3"/>
  <c r="BE38" i="3" s="1"/>
  <c r="CL26" i="4"/>
  <c r="CH26" i="4"/>
  <c r="BD36" i="3" s="1"/>
  <c r="BD30" i="3"/>
  <c r="BD26" i="3"/>
  <c r="CJ26" i="4" l="1"/>
  <c r="BE40" i="3"/>
  <c r="F160" i="8"/>
  <c r="F163" i="8" s="1"/>
  <c r="BD33" i="3"/>
  <c r="BD38" i="3" s="1"/>
  <c r="E160" i="8" s="1"/>
  <c r="E163" i="8" s="1"/>
  <c r="G163" i="8" s="1"/>
  <c r="I163" i="8" s="1"/>
  <c r="H163" i="8" l="1"/>
  <c r="G160" i="8"/>
  <c r="I160" i="8" s="1"/>
  <c r="H160" i="8"/>
  <c r="G161" i="8" l="1"/>
  <c r="I161" i="8" s="1"/>
  <c r="H161" i="8"/>
  <c r="CS32" i="6"/>
  <c r="CS31" i="6"/>
  <c r="CS12" i="6"/>
  <c r="CS13" i="6"/>
  <c r="CS14" i="6"/>
  <c r="CS15" i="6"/>
  <c r="CS16" i="6"/>
  <c r="CS17" i="6"/>
  <c r="CS18" i="6"/>
  <c r="CS19" i="6"/>
  <c r="CS20" i="6"/>
  <c r="CS21" i="6"/>
  <c r="CS22" i="6"/>
  <c r="CS23" i="6"/>
  <c r="CS24" i="6"/>
  <c r="CS25" i="6"/>
  <c r="CS26" i="6"/>
  <c r="CS27" i="6"/>
  <c r="CS28" i="6"/>
  <c r="CS11" i="6"/>
  <c r="DD12" i="2"/>
  <c r="DD13" i="2"/>
  <c r="CS33" i="6" l="1"/>
  <c r="CS29" i="6"/>
  <c r="CS36" i="6" l="1"/>
  <c r="AR48" i="1"/>
  <c r="D26" i="11" l="1"/>
  <c r="F30" i="11" l="1"/>
  <c r="AM30" i="3"/>
  <c r="AM44" i="3" s="1"/>
  <c r="AM26" i="3"/>
  <c r="AM43" i="3" s="1"/>
  <c r="AM33" i="3" l="1"/>
  <c r="AM38" i="3" s="1"/>
  <c r="AM40" i="3" s="1"/>
  <c r="AL43" i="3"/>
  <c r="AL30" i="3"/>
  <c r="AL44" i="3" s="1"/>
  <c r="D65" i="8"/>
  <c r="C18" i="16" s="1"/>
  <c r="F63" i="8" l="1"/>
  <c r="AL33" i="3"/>
  <c r="AL38" i="3" s="1"/>
  <c r="E63" i="8" s="1"/>
  <c r="G63" i="8" s="1"/>
  <c r="I63" i="8" s="1"/>
  <c r="G64" i="8" l="1"/>
  <c r="I64" i="8" s="1"/>
  <c r="H63" i="8"/>
  <c r="E65" i="8" l="1"/>
  <c r="H64" i="8"/>
  <c r="F65" i="8"/>
  <c r="E18" i="16" s="1"/>
  <c r="G65" i="8" l="1"/>
  <c r="D18" i="16"/>
  <c r="H65" i="8"/>
  <c r="AU26" i="3"/>
  <c r="AU43" i="3" s="1"/>
  <c r="I65" i="8" l="1"/>
  <c r="F18" i="16"/>
  <c r="AT26" i="3"/>
  <c r="AT43" i="3" s="1"/>
  <c r="AT30" i="3"/>
  <c r="AT44" i="3" s="1"/>
  <c r="AU30" i="3" l="1"/>
  <c r="AT33" i="3"/>
  <c r="AT38" i="3" s="1"/>
  <c r="AU44" i="3" l="1"/>
  <c r="AU33" i="3"/>
  <c r="AU38" i="3" s="1"/>
  <c r="D239" i="8"/>
  <c r="D236" i="8"/>
  <c r="J235" i="8"/>
  <c r="M32" i="6"/>
  <c r="AW31" i="17" s="1"/>
  <c r="AX31" i="17" s="1"/>
  <c r="M31" i="6"/>
  <c r="AW30" i="17" s="1"/>
  <c r="AX30" i="17" s="1"/>
  <c r="M12" i="6"/>
  <c r="AW11" i="17" s="1"/>
  <c r="AX11" i="17" s="1"/>
  <c r="M13" i="6"/>
  <c r="AW12" i="17" s="1"/>
  <c r="AX12" i="17" s="1"/>
  <c r="M14" i="6"/>
  <c r="AW13" i="17" s="1"/>
  <c r="AX13" i="17" s="1"/>
  <c r="M15" i="6"/>
  <c r="AW14" i="17" s="1"/>
  <c r="AX14" i="17" s="1"/>
  <c r="M16" i="6"/>
  <c r="AW15" i="17" s="1"/>
  <c r="AX15" i="17" s="1"/>
  <c r="M17" i="6"/>
  <c r="AW16" i="17" s="1"/>
  <c r="AX16" i="17" s="1"/>
  <c r="M18" i="6"/>
  <c r="AW17" i="17" s="1"/>
  <c r="AX17" i="17" s="1"/>
  <c r="M19" i="6"/>
  <c r="AW18" i="17" s="1"/>
  <c r="AX18" i="17" s="1"/>
  <c r="M20" i="6"/>
  <c r="AW19" i="17" s="1"/>
  <c r="AX19" i="17" s="1"/>
  <c r="M21" i="6"/>
  <c r="AW20" i="17" s="1"/>
  <c r="AX20" i="17" s="1"/>
  <c r="M22" i="6"/>
  <c r="AW21" i="17" s="1"/>
  <c r="AX21" i="17" s="1"/>
  <c r="M23" i="6"/>
  <c r="AW22" i="17" s="1"/>
  <c r="AX22" i="17" s="1"/>
  <c r="M24" i="6"/>
  <c r="AW23" i="17" s="1"/>
  <c r="AX23" i="17" s="1"/>
  <c r="M25" i="6"/>
  <c r="AW24" i="17" s="1"/>
  <c r="AX24" i="17" s="1"/>
  <c r="M26" i="6"/>
  <c r="AW25" i="17" s="1"/>
  <c r="AX25" i="17" s="1"/>
  <c r="M27" i="6"/>
  <c r="AW26" i="17" s="1"/>
  <c r="AX26" i="17" s="1"/>
  <c r="M28" i="6"/>
  <c r="AW27" i="17" s="1"/>
  <c r="AX27" i="17" s="1"/>
  <c r="M11" i="6"/>
  <c r="AW10" i="17" s="1"/>
  <c r="L32" i="6"/>
  <c r="AS31" i="17" s="1"/>
  <c r="AT31" i="17" s="1"/>
  <c r="L31" i="6"/>
  <c r="AS30" i="17" s="1"/>
  <c r="AT30" i="17" s="1"/>
  <c r="L12" i="6"/>
  <c r="AS11" i="17" s="1"/>
  <c r="AT11" i="17" s="1"/>
  <c r="L13" i="6"/>
  <c r="AS12" i="17" s="1"/>
  <c r="AT12" i="17" s="1"/>
  <c r="L14" i="6"/>
  <c r="AS13" i="17" s="1"/>
  <c r="AT13" i="17" s="1"/>
  <c r="L15" i="6"/>
  <c r="AS14" i="17" s="1"/>
  <c r="AT14" i="17" s="1"/>
  <c r="L16" i="6"/>
  <c r="AS15" i="17" s="1"/>
  <c r="AT15" i="17" s="1"/>
  <c r="L17" i="6"/>
  <c r="AS16" i="17" s="1"/>
  <c r="AT16" i="17" s="1"/>
  <c r="L18" i="6"/>
  <c r="AS17" i="17" s="1"/>
  <c r="AT17" i="17" s="1"/>
  <c r="L19" i="6"/>
  <c r="AS18" i="17" s="1"/>
  <c r="AT18" i="17" s="1"/>
  <c r="L20" i="6"/>
  <c r="AS19" i="17" s="1"/>
  <c r="AT19" i="17" s="1"/>
  <c r="L21" i="6"/>
  <c r="AS20" i="17" s="1"/>
  <c r="AT20" i="17" s="1"/>
  <c r="L22" i="6"/>
  <c r="AS21" i="17" s="1"/>
  <c r="AT21" i="17" s="1"/>
  <c r="L23" i="6"/>
  <c r="AS22" i="17" s="1"/>
  <c r="AT22" i="17" s="1"/>
  <c r="L24" i="6"/>
  <c r="AS23" i="17" s="1"/>
  <c r="AT23" i="17" s="1"/>
  <c r="L25" i="6"/>
  <c r="AS24" i="17" s="1"/>
  <c r="AT24" i="17" s="1"/>
  <c r="L26" i="6"/>
  <c r="AS25" i="17" s="1"/>
  <c r="AT25" i="17" s="1"/>
  <c r="L27" i="6"/>
  <c r="AS26" i="17" s="1"/>
  <c r="AT26" i="17" s="1"/>
  <c r="L28" i="6"/>
  <c r="AS27" i="17" s="1"/>
  <c r="AT27" i="17" s="1"/>
  <c r="L11" i="6"/>
  <c r="AS10" i="17" s="1"/>
  <c r="AT10" i="17" s="1"/>
  <c r="DX34" i="2"/>
  <c r="DW34" i="2"/>
  <c r="DX30" i="2"/>
  <c r="DW30" i="2"/>
  <c r="AX32" i="17" l="1"/>
  <c r="AW28" i="17"/>
  <c r="AX10" i="17"/>
  <c r="AT28" i="17"/>
  <c r="AT32" i="17"/>
  <c r="AS28" i="17"/>
  <c r="AS32" i="17"/>
  <c r="AW32" i="17"/>
  <c r="DX37" i="2"/>
  <c r="M33" i="6"/>
  <c r="DW37" i="2"/>
  <c r="M29" i="6"/>
  <c r="L33" i="6"/>
  <c r="L29" i="6"/>
  <c r="DO30" i="2"/>
  <c r="DP30" i="2"/>
  <c r="DO34" i="2"/>
  <c r="DP34" i="2"/>
  <c r="D358" i="8"/>
  <c r="J356" i="8"/>
  <c r="AW32" i="6"/>
  <c r="GK31" i="17" s="1"/>
  <c r="GL31" i="17" s="1"/>
  <c r="AW31" i="6"/>
  <c r="GK30" i="17" s="1"/>
  <c r="GL30" i="17" s="1"/>
  <c r="AW12" i="6"/>
  <c r="GK11" i="17" s="1"/>
  <c r="AW13" i="6"/>
  <c r="GK12" i="17" s="1"/>
  <c r="AW14" i="6"/>
  <c r="GK13" i="17" s="1"/>
  <c r="AW15" i="6"/>
  <c r="GK14" i="17" s="1"/>
  <c r="AW16" i="6"/>
  <c r="GK15" i="17" s="1"/>
  <c r="AW17" i="6"/>
  <c r="GK16" i="17" s="1"/>
  <c r="AW18" i="6"/>
  <c r="GK17" i="17" s="1"/>
  <c r="AW19" i="6"/>
  <c r="GK18" i="17" s="1"/>
  <c r="AW20" i="6"/>
  <c r="GK19" i="17" s="1"/>
  <c r="AW21" i="6"/>
  <c r="GK20" i="17" s="1"/>
  <c r="AW22" i="6"/>
  <c r="GK21" i="17" s="1"/>
  <c r="AW23" i="6"/>
  <c r="GK22" i="17" s="1"/>
  <c r="AW24" i="6"/>
  <c r="GK23" i="17" s="1"/>
  <c r="AW25" i="6"/>
  <c r="GK24" i="17" s="1"/>
  <c r="AW26" i="6"/>
  <c r="GK25" i="17" s="1"/>
  <c r="AW27" i="6"/>
  <c r="GK26" i="17" s="1"/>
  <c r="AW28" i="6"/>
  <c r="GK27" i="17" s="1"/>
  <c r="AW11" i="6"/>
  <c r="GK10" i="17" s="1"/>
  <c r="C9" i="7" l="1"/>
  <c r="DX42" i="2"/>
  <c r="F235" i="8"/>
  <c r="F236" i="8" s="1"/>
  <c r="DW42" i="2"/>
  <c r="AX28" i="17"/>
  <c r="AX35" i="17" s="1"/>
  <c r="AT35" i="17"/>
  <c r="GK28" i="17"/>
  <c r="AW35" i="17"/>
  <c r="GL32" i="17"/>
  <c r="GL35" i="17" s="1"/>
  <c r="AS35" i="17"/>
  <c r="GK32" i="17"/>
  <c r="F238" i="8"/>
  <c r="F239" i="8" s="1"/>
  <c r="M36" i="6"/>
  <c r="D361" i="8"/>
  <c r="C9" i="16" s="1"/>
  <c r="AW33" i="6"/>
  <c r="L36" i="6"/>
  <c r="DP37" i="2"/>
  <c r="B9" i="7" s="1"/>
  <c r="DO37" i="2"/>
  <c r="E235" i="8" s="1"/>
  <c r="E236" i="8" s="1"/>
  <c r="AW29" i="6"/>
  <c r="AS36" i="17" l="1"/>
  <c r="GK35" i="17"/>
  <c r="AW36" i="17"/>
  <c r="G236" i="8"/>
  <c r="I236" i="8" s="1"/>
  <c r="AW36" i="6"/>
  <c r="E238" i="8"/>
  <c r="G238" i="8" s="1"/>
  <c r="I238" i="8" s="1"/>
  <c r="H235" i="8"/>
  <c r="G235" i="8"/>
  <c r="I235" i="8" s="1"/>
  <c r="H236" i="8"/>
  <c r="AV32" i="6"/>
  <c r="GG31" i="17" s="1"/>
  <c r="GH31" i="17" s="1"/>
  <c r="KR29" i="2"/>
  <c r="GM27" i="17" s="1"/>
  <c r="KQ29" i="2"/>
  <c r="KR28" i="2"/>
  <c r="GM26" i="17" s="1"/>
  <c r="KQ28" i="2"/>
  <c r="KR27" i="2"/>
  <c r="GM25" i="17" s="1"/>
  <c r="KQ27" i="2"/>
  <c r="KR26" i="2"/>
  <c r="GM24" i="17" s="1"/>
  <c r="KQ26" i="2"/>
  <c r="KR25" i="2"/>
  <c r="GM23" i="17" s="1"/>
  <c r="KQ25" i="2"/>
  <c r="KR24" i="2"/>
  <c r="GM22" i="17" s="1"/>
  <c r="KQ24" i="2"/>
  <c r="KR23" i="2"/>
  <c r="GM21" i="17" s="1"/>
  <c r="KQ23" i="2"/>
  <c r="KR22" i="2"/>
  <c r="GM20" i="17" s="1"/>
  <c r="KQ22" i="2"/>
  <c r="KR21" i="2"/>
  <c r="GM19" i="17" s="1"/>
  <c r="KQ21" i="2"/>
  <c r="KR20" i="2"/>
  <c r="GM18" i="17" s="1"/>
  <c r="KQ20" i="2"/>
  <c r="KR19" i="2"/>
  <c r="GM17" i="17" s="1"/>
  <c r="KQ19" i="2"/>
  <c r="KR18" i="2"/>
  <c r="GM16" i="17" s="1"/>
  <c r="KQ18" i="2"/>
  <c r="KR17" i="2"/>
  <c r="GM15" i="17" s="1"/>
  <c r="KQ17" i="2"/>
  <c r="KR16" i="2"/>
  <c r="GM14" i="17" s="1"/>
  <c r="KQ16" i="2"/>
  <c r="KR15" i="2"/>
  <c r="GM13" i="17" s="1"/>
  <c r="KQ15" i="2"/>
  <c r="KR14" i="2"/>
  <c r="GM12" i="17" s="1"/>
  <c r="KQ14" i="2"/>
  <c r="KR13" i="2"/>
  <c r="GM11" i="17" s="1"/>
  <c r="KQ13" i="2"/>
  <c r="KR12" i="2"/>
  <c r="GM10" i="17" s="1"/>
  <c r="KQ12" i="2"/>
  <c r="KL13" i="2"/>
  <c r="KL14" i="2"/>
  <c r="KM14" i="2"/>
  <c r="GI12" i="17" s="1"/>
  <c r="KL15" i="2"/>
  <c r="KM16" i="2"/>
  <c r="GI14" i="17" s="1"/>
  <c r="KL17" i="2"/>
  <c r="KM18" i="2"/>
  <c r="GI16" i="17" s="1"/>
  <c r="KL19" i="2"/>
  <c r="KM20" i="2"/>
  <c r="GI18" i="17" s="1"/>
  <c r="KL21" i="2"/>
  <c r="KM22" i="2"/>
  <c r="GI20" i="17" s="1"/>
  <c r="KL23" i="2"/>
  <c r="KM24" i="2"/>
  <c r="GI22" i="17" s="1"/>
  <c r="KL25" i="2"/>
  <c r="KM26" i="2"/>
  <c r="GI24" i="17" s="1"/>
  <c r="KL27" i="2"/>
  <c r="KM28" i="2"/>
  <c r="GI26" i="17" s="1"/>
  <c r="KL29" i="2"/>
  <c r="KM12" i="2"/>
  <c r="GI10" i="17" s="1"/>
  <c r="JV33" i="2"/>
  <c r="JV32" i="2"/>
  <c r="JV29" i="2"/>
  <c r="JV28" i="2"/>
  <c r="JV27" i="2"/>
  <c r="JV26" i="2"/>
  <c r="JV25" i="2"/>
  <c r="JV24" i="2"/>
  <c r="JV23" i="2"/>
  <c r="JV22" i="2"/>
  <c r="JV21" i="2"/>
  <c r="JV20" i="2"/>
  <c r="JV19" i="2"/>
  <c r="JV18" i="2"/>
  <c r="JV17" i="2"/>
  <c r="JV16" i="2"/>
  <c r="JV15" i="2"/>
  <c r="JV14" i="2"/>
  <c r="JV13" i="2"/>
  <c r="JV12" i="2"/>
  <c r="KF29" i="2"/>
  <c r="KF28" i="2"/>
  <c r="KF27" i="2"/>
  <c r="KF26" i="2"/>
  <c r="KF25" i="2"/>
  <c r="KF24" i="2"/>
  <c r="KF23" i="2"/>
  <c r="KF22" i="2"/>
  <c r="KF21" i="2"/>
  <c r="KF20" i="2"/>
  <c r="KF19" i="2"/>
  <c r="KF18" i="2"/>
  <c r="KF17" i="2"/>
  <c r="KF16" i="2"/>
  <c r="KF15" i="2"/>
  <c r="KF14" i="2"/>
  <c r="KF13" i="2"/>
  <c r="KF12" i="2"/>
  <c r="KZ13" i="2"/>
  <c r="KZ14" i="2"/>
  <c r="KZ15" i="2"/>
  <c r="KZ16" i="2"/>
  <c r="KZ17" i="2"/>
  <c r="KZ18" i="2"/>
  <c r="KZ19" i="2"/>
  <c r="KZ20" i="2"/>
  <c r="KZ21" i="2"/>
  <c r="KZ22" i="2"/>
  <c r="KZ23" i="2"/>
  <c r="KZ24" i="2"/>
  <c r="KZ25" i="2"/>
  <c r="KZ26" i="2"/>
  <c r="KZ27" i="2"/>
  <c r="KZ28" i="2"/>
  <c r="KZ29" i="2"/>
  <c r="KZ12" i="2"/>
  <c r="LB34" i="2"/>
  <c r="LA34" i="2"/>
  <c r="LB30" i="2"/>
  <c r="LA30" i="2"/>
  <c r="KW34" i="2"/>
  <c r="KV34" i="2"/>
  <c r="KR34" i="2"/>
  <c r="KQ34" i="2"/>
  <c r="KM34" i="2"/>
  <c r="KL34" i="2"/>
  <c r="KC34" i="2"/>
  <c r="KB34" i="2"/>
  <c r="JX34" i="2"/>
  <c r="JW34" i="2"/>
  <c r="JX30" i="2"/>
  <c r="JW30" i="2"/>
  <c r="KH34" i="2"/>
  <c r="KG34" i="2"/>
  <c r="KH30" i="2"/>
  <c r="KG30" i="2"/>
  <c r="GM28" i="17" l="1"/>
  <c r="GM35" i="17" s="1"/>
  <c r="GK36" i="17" s="1"/>
  <c r="JW37" i="2"/>
  <c r="LA37" i="2"/>
  <c r="KG37" i="2"/>
  <c r="KQ30" i="2"/>
  <c r="KQ37" i="2" s="1"/>
  <c r="KH37" i="2"/>
  <c r="JX37" i="2"/>
  <c r="LB37" i="2"/>
  <c r="KR30" i="2"/>
  <c r="KR37" i="2" s="1"/>
  <c r="E239" i="8"/>
  <c r="H238" i="8"/>
  <c r="G237" i="8"/>
  <c r="H237" i="8"/>
  <c r="KC30" i="2"/>
  <c r="KC37" i="2" s="1"/>
  <c r="KV30" i="2"/>
  <c r="KV37" i="2" s="1"/>
  <c r="JR34" i="2"/>
  <c r="KB30" i="2"/>
  <c r="KB37" i="2" s="1"/>
  <c r="KW30" i="2"/>
  <c r="KW37" i="2" s="1"/>
  <c r="KL12" i="2"/>
  <c r="AV27" i="6"/>
  <c r="GG26" i="17" s="1"/>
  <c r="AV25" i="6"/>
  <c r="GG24" i="17" s="1"/>
  <c r="AV23" i="6"/>
  <c r="GG22" i="17" s="1"/>
  <c r="AV21" i="6"/>
  <c r="GG20" i="17" s="1"/>
  <c r="AV19" i="6"/>
  <c r="GG18" i="17" s="1"/>
  <c r="AV17" i="6"/>
  <c r="GG16" i="17" s="1"/>
  <c r="AV15" i="6"/>
  <c r="GG14" i="17" s="1"/>
  <c r="AV13" i="6"/>
  <c r="GG12" i="17" s="1"/>
  <c r="AV26" i="6"/>
  <c r="GG25" i="17" s="1"/>
  <c r="AV22" i="6"/>
  <c r="GG21" i="17" s="1"/>
  <c r="AV18" i="6"/>
  <c r="GG17" i="17" s="1"/>
  <c r="AV14" i="6"/>
  <c r="GG13" i="17" s="1"/>
  <c r="JS30" i="2"/>
  <c r="AV12" i="6"/>
  <c r="GG11" i="17" s="1"/>
  <c r="KM29" i="2"/>
  <c r="GI27" i="17" s="1"/>
  <c r="KM27" i="2"/>
  <c r="GI25" i="17" s="1"/>
  <c r="KM25" i="2"/>
  <c r="GI23" i="17" s="1"/>
  <c r="KM23" i="2"/>
  <c r="GI21" i="17" s="1"/>
  <c r="KM21" i="2"/>
  <c r="GI19" i="17" s="1"/>
  <c r="KM19" i="2"/>
  <c r="GI17" i="17" s="1"/>
  <c r="KM17" i="2"/>
  <c r="GI15" i="17" s="1"/>
  <c r="KM15" i="2"/>
  <c r="GI13" i="17" s="1"/>
  <c r="KM13" i="2"/>
  <c r="GI11" i="17" s="1"/>
  <c r="AV28" i="6"/>
  <c r="GG27" i="17" s="1"/>
  <c r="AV24" i="6"/>
  <c r="GG23" i="17" s="1"/>
  <c r="AV20" i="6"/>
  <c r="GG19" i="17" s="1"/>
  <c r="AV16" i="6"/>
  <c r="GG15" i="17" s="1"/>
  <c r="JS34" i="2"/>
  <c r="AV31" i="6"/>
  <c r="KL28" i="2"/>
  <c r="KL26" i="2"/>
  <c r="KL24" i="2"/>
  <c r="KL22" i="2"/>
  <c r="KL20" i="2"/>
  <c r="KL18" i="2"/>
  <c r="KL16" i="2"/>
  <c r="AV11" i="6"/>
  <c r="GG10" i="17" s="1"/>
  <c r="JR30" i="2"/>
  <c r="GG28" i="17" l="1"/>
  <c r="GI28" i="17"/>
  <c r="GI35" i="17" s="1"/>
  <c r="AV33" i="6"/>
  <c r="GG30" i="17"/>
  <c r="I237" i="8"/>
  <c r="JW38" i="2"/>
  <c r="JW42" i="2" s="1"/>
  <c r="JX38" i="2"/>
  <c r="F359" i="8" s="1"/>
  <c r="F361" i="8" s="1"/>
  <c r="G239" i="8"/>
  <c r="H239" i="8"/>
  <c r="JR37" i="2"/>
  <c r="JR38" i="2" s="1"/>
  <c r="E356" i="8" s="1"/>
  <c r="G356" i="8" s="1"/>
  <c r="KL30" i="2"/>
  <c r="KL37" i="2" s="1"/>
  <c r="KM30" i="2"/>
  <c r="KM37" i="2" s="1"/>
  <c r="JS37" i="2"/>
  <c r="JS38" i="2" s="1"/>
  <c r="B22" i="7" s="1"/>
  <c r="AV29" i="6"/>
  <c r="AV36" i="6" l="1"/>
  <c r="GG32" i="17"/>
  <c r="GG35" i="17" s="1"/>
  <c r="GH30" i="17"/>
  <c r="GH32" i="17" s="1"/>
  <c r="GH35" i="17" s="1"/>
  <c r="I239" i="8"/>
  <c r="G240" i="8"/>
  <c r="H240" i="8"/>
  <c r="F356" i="8"/>
  <c r="F358" i="8" s="1"/>
  <c r="E9" i="16" s="1"/>
  <c r="JX42" i="2"/>
  <c r="C22" i="7"/>
  <c r="H357" i="8"/>
  <c r="E359" i="8"/>
  <c r="H359" i="8" s="1"/>
  <c r="I357" i="8"/>
  <c r="I356" i="8"/>
  <c r="S29" i="6"/>
  <c r="S33" i="6"/>
  <c r="GG36" i="17" l="1"/>
  <c r="I240" i="8"/>
  <c r="H356" i="8"/>
  <c r="E358" i="8"/>
  <c r="H360" i="8"/>
  <c r="G359" i="8"/>
  <c r="I359" i="8" s="1"/>
  <c r="S36" i="6"/>
  <c r="D279" i="8"/>
  <c r="D477" i="8" s="1"/>
  <c r="G278" i="8"/>
  <c r="G277" i="8"/>
  <c r="D275" i="8"/>
  <c r="G274" i="8"/>
  <c r="G273" i="8"/>
  <c r="G358" i="8" l="1"/>
  <c r="H358" i="8"/>
  <c r="E361" i="8"/>
  <c r="H361" i="8" s="1"/>
  <c r="I431" i="8"/>
  <c r="H431" i="8"/>
  <c r="AS30" i="2"/>
  <c r="AS34" i="2"/>
  <c r="D137" i="8"/>
  <c r="H136" i="8"/>
  <c r="G136" i="8"/>
  <c r="J135" i="8"/>
  <c r="H143" i="8"/>
  <c r="G143" i="8"/>
  <c r="I143" i="8" s="1"/>
  <c r="CA26" i="4"/>
  <c r="BW26" i="4"/>
  <c r="BA36" i="3" s="1"/>
  <c r="BY8" i="4"/>
  <c r="BA30" i="3"/>
  <c r="BA26" i="3"/>
  <c r="D9" i="16" l="1"/>
  <c r="I358" i="8"/>
  <c r="I136" i="8"/>
  <c r="I360" i="8"/>
  <c r="G361" i="8"/>
  <c r="F9" i="16" s="1"/>
  <c r="R33" i="6"/>
  <c r="BA33" i="3"/>
  <c r="BA38" i="3" s="1"/>
  <c r="R29" i="6"/>
  <c r="BY26" i="4"/>
  <c r="BV26" i="4"/>
  <c r="AZ36" i="3" s="1"/>
  <c r="AZ30" i="3"/>
  <c r="AN34" i="2"/>
  <c r="AS37" i="2"/>
  <c r="F135" i="8" s="1"/>
  <c r="F137" i="8" s="1"/>
  <c r="BZ26" i="4"/>
  <c r="BX8" i="4"/>
  <c r="AZ26" i="3"/>
  <c r="AN30" i="2"/>
  <c r="I361" i="8" l="1"/>
  <c r="AZ33" i="3"/>
  <c r="R36" i="6"/>
  <c r="BA40" i="3"/>
  <c r="F141" i="8"/>
  <c r="AN37" i="2"/>
  <c r="E135" i="8" s="1"/>
  <c r="E137" i="8" s="1"/>
  <c r="BX26" i="4"/>
  <c r="F144" i="8" l="1"/>
  <c r="H137" i="8"/>
  <c r="G137" i="8"/>
  <c r="I137" i="8" s="1"/>
  <c r="G135" i="8"/>
  <c r="I135" i="8" s="1"/>
  <c r="H135" i="8"/>
  <c r="D34" i="8" l="1"/>
  <c r="AC30" i="3"/>
  <c r="AC26" i="3"/>
  <c r="AB26" i="3" l="1"/>
  <c r="AC33" i="3"/>
  <c r="AC38" i="3" s="1"/>
  <c r="AB30" i="3"/>
  <c r="AB33" i="3" l="1"/>
  <c r="AB38" i="3" s="1"/>
  <c r="E33" i="8" s="1"/>
  <c r="E34" i="8" s="1"/>
  <c r="G34" i="8" s="1"/>
  <c r="I34" i="8" s="1"/>
  <c r="AC40" i="3"/>
  <c r="F33" i="8"/>
  <c r="AS26" i="3"/>
  <c r="G33" i="8" l="1"/>
  <c r="I33" i="8" s="1"/>
  <c r="G35" i="8"/>
  <c r="I35" i="8" s="1"/>
  <c r="H33" i="8"/>
  <c r="F34" i="8"/>
  <c r="AR30" i="3"/>
  <c r="AR44" i="3" s="1"/>
  <c r="AR26" i="3"/>
  <c r="AR43" i="3" s="1"/>
  <c r="AS43" i="3"/>
  <c r="H34" i="8" l="1"/>
  <c r="H35" i="8"/>
  <c r="AS30" i="3"/>
  <c r="AR33" i="3"/>
  <c r="AR38" i="3" s="1"/>
  <c r="AS44" i="3" l="1"/>
  <c r="AS33" i="3"/>
  <c r="AS38" i="3" s="1"/>
  <c r="D131" i="8"/>
  <c r="AG30" i="3"/>
  <c r="AG26" i="3"/>
  <c r="AF30" i="3" l="1"/>
  <c r="AF26" i="3"/>
  <c r="AS40" i="3"/>
  <c r="AG33" i="3"/>
  <c r="AG38" i="3" s="1"/>
  <c r="AF33" i="3" l="1"/>
  <c r="AG40" i="3"/>
  <c r="F138" i="8"/>
  <c r="F140" i="8" s="1"/>
  <c r="E16" i="16" s="1"/>
  <c r="F131" i="8" l="1"/>
  <c r="B33" i="7" l="1"/>
  <c r="KU13" i="2" l="1"/>
  <c r="KU15" i="2"/>
  <c r="KU19" i="2"/>
  <c r="KU14" i="2"/>
  <c r="KU16" i="2"/>
  <c r="KU17" i="2"/>
  <c r="KU18" i="2"/>
  <c r="KU20" i="2"/>
  <c r="KU21" i="2"/>
  <c r="KU22" i="2"/>
  <c r="KU23" i="2"/>
  <c r="KU24" i="2"/>
  <c r="KU25" i="2"/>
  <c r="KU26" i="2"/>
  <c r="KU27" i="2"/>
  <c r="KU28" i="2"/>
  <c r="KU29" i="2"/>
  <c r="KA12" i="2"/>
  <c r="KA13" i="2"/>
  <c r="KA14" i="2"/>
  <c r="JQ29" i="2"/>
  <c r="JQ28" i="2"/>
  <c r="JQ27" i="2"/>
  <c r="JQ26" i="2"/>
  <c r="JQ25" i="2"/>
  <c r="JQ24" i="2"/>
  <c r="JQ23" i="2"/>
  <c r="JQ22" i="2"/>
  <c r="JQ21" i="2"/>
  <c r="JQ20" i="2"/>
  <c r="JQ19" i="2"/>
  <c r="JQ18" i="2"/>
  <c r="JQ17" i="2"/>
  <c r="JQ16" i="2"/>
  <c r="JQ15" i="2"/>
  <c r="JQ14" i="2"/>
  <c r="JQ13" i="2"/>
  <c r="KU12" i="2"/>
  <c r="KA15" i="2"/>
  <c r="KA16" i="2"/>
  <c r="KA17" i="2"/>
  <c r="KA18" i="2"/>
  <c r="KA19" i="2"/>
  <c r="KA20" i="2"/>
  <c r="KA21" i="2"/>
  <c r="KA22" i="2"/>
  <c r="KA23" i="2"/>
  <c r="KA24" i="2"/>
  <c r="KA25" i="2"/>
  <c r="KA26" i="2"/>
  <c r="KA27" i="2"/>
  <c r="KA28" i="2"/>
  <c r="KA29" i="2"/>
  <c r="JQ12" i="2"/>
  <c r="JQ32" i="2"/>
  <c r="JQ33" i="2"/>
  <c r="CV13" i="2"/>
  <c r="AI11" i="17" s="1"/>
  <c r="CV14" i="2"/>
  <c r="AI12" i="17" s="1"/>
  <c r="CV15" i="2"/>
  <c r="AI13" i="17" s="1"/>
  <c r="CV16" i="2"/>
  <c r="AI14" i="17" s="1"/>
  <c r="CV17" i="2"/>
  <c r="AI15" i="17" s="1"/>
  <c r="CV18" i="2"/>
  <c r="AI16" i="17" s="1"/>
  <c r="CV19" i="2"/>
  <c r="AI17" i="17" s="1"/>
  <c r="CV20" i="2"/>
  <c r="AI18" i="17" s="1"/>
  <c r="CV21" i="2"/>
  <c r="AI19" i="17" s="1"/>
  <c r="CV22" i="2"/>
  <c r="AI20" i="17" s="1"/>
  <c r="CV23" i="2"/>
  <c r="AI21" i="17" s="1"/>
  <c r="CV24" i="2"/>
  <c r="AI22" i="17" s="1"/>
  <c r="CV25" i="2"/>
  <c r="AI23" i="17" s="1"/>
  <c r="CV26" i="2"/>
  <c r="AI24" i="17" s="1"/>
  <c r="CV27" i="2"/>
  <c r="AI25" i="17" s="1"/>
  <c r="CV28" i="2"/>
  <c r="AI26" i="17" s="1"/>
  <c r="CV29" i="2"/>
  <c r="AI27" i="17" s="1"/>
  <c r="AU8" i="4"/>
  <c r="QX26" i="2" l="1"/>
  <c r="QX22" i="2"/>
  <c r="QX18" i="2"/>
  <c r="QX14" i="2"/>
  <c r="QX27" i="2"/>
  <c r="QX23" i="2"/>
  <c r="QX19" i="2"/>
  <c r="QX15" i="2"/>
  <c r="QX28" i="2"/>
  <c r="QX24" i="2"/>
  <c r="QX20" i="2"/>
  <c r="QX16" i="2"/>
  <c r="QX29" i="2"/>
  <c r="QX25" i="2"/>
  <c r="QX21" i="2"/>
  <c r="QX17" i="2"/>
  <c r="QX13" i="2"/>
  <c r="QS32" i="2"/>
  <c r="QY29" i="2"/>
  <c r="QU26" i="2"/>
  <c r="QU18" i="2"/>
  <c r="QY17" i="2"/>
  <c r="QU12" i="2"/>
  <c r="QY21" i="2"/>
  <c r="QY13" i="2"/>
  <c r="QU29" i="2"/>
  <c r="QY28" i="2"/>
  <c r="QU25" i="2"/>
  <c r="QY24" i="2"/>
  <c r="QU21" i="2"/>
  <c r="QY20" i="2"/>
  <c r="QY16" i="2"/>
  <c r="QU13" i="2"/>
  <c r="QY12" i="2"/>
  <c r="QY26" i="2"/>
  <c r="QU23" i="2"/>
  <c r="QY22" i="2"/>
  <c r="QY18" i="2"/>
  <c r="QU15" i="2"/>
  <c r="QY14" i="2"/>
  <c r="QY25" i="2"/>
  <c r="QU28" i="2"/>
  <c r="QY27" i="2"/>
  <c r="QU24" i="2"/>
  <c r="QY23" i="2"/>
  <c r="QY19" i="2"/>
  <c r="QU16" i="2"/>
  <c r="QY15" i="2"/>
  <c r="JQ34" i="2"/>
  <c r="JQ30" i="2"/>
  <c r="CU20" i="2"/>
  <c r="AE18" i="17" s="1"/>
  <c r="CU16" i="2"/>
  <c r="AE14" i="17" s="1"/>
  <c r="CU15" i="2"/>
  <c r="AE13" i="17" s="1"/>
  <c r="CU13" i="2"/>
  <c r="AE11" i="17" s="1"/>
  <c r="CU26" i="2"/>
  <c r="AE24" i="17" s="1"/>
  <c r="CU18" i="2"/>
  <c r="AE16" i="17" s="1"/>
  <c r="CU28" i="2"/>
  <c r="AE26" i="17" s="1"/>
  <c r="CU24" i="2"/>
  <c r="AE22" i="17" s="1"/>
  <c r="CU23" i="2"/>
  <c r="AE21" i="17" s="1"/>
  <c r="CU21" i="2"/>
  <c r="AE19" i="17" s="1"/>
  <c r="CU29" i="2"/>
  <c r="AE27" i="17" s="1"/>
  <c r="CU19" i="2"/>
  <c r="AE17" i="17" s="1"/>
  <c r="CU17" i="2"/>
  <c r="AE15" i="17" s="1"/>
  <c r="CU14" i="2"/>
  <c r="AE12" i="17" s="1"/>
  <c r="CU27" i="2"/>
  <c r="AE25" i="17" s="1"/>
  <c r="CU25" i="2"/>
  <c r="AE23" i="17" s="1"/>
  <c r="CU22" i="2"/>
  <c r="AE20" i="17" s="1"/>
  <c r="K13" i="2"/>
  <c r="S13" i="2"/>
  <c r="W13" i="2"/>
  <c r="AB13" i="2"/>
  <c r="AF13" i="2" s="1"/>
  <c r="K14" i="2"/>
  <c r="S14" i="2"/>
  <c r="W14" i="2"/>
  <c r="AB14" i="2"/>
  <c r="AF14" i="2" s="1"/>
  <c r="K15" i="2"/>
  <c r="S15" i="2"/>
  <c r="W15" i="2"/>
  <c r="AB15" i="2"/>
  <c r="AF15" i="2" s="1"/>
  <c r="K16" i="2"/>
  <c r="S16" i="2"/>
  <c r="W16" i="2"/>
  <c r="AB16" i="2"/>
  <c r="AF16" i="2" s="1"/>
  <c r="K17" i="2"/>
  <c r="S17" i="2"/>
  <c r="W17" i="2"/>
  <c r="AB17" i="2"/>
  <c r="AF17" i="2" s="1"/>
  <c r="K18" i="2"/>
  <c r="S18" i="2"/>
  <c r="W18" i="2"/>
  <c r="AB18" i="2"/>
  <c r="AF18" i="2" s="1"/>
  <c r="K19" i="2"/>
  <c r="S19" i="2"/>
  <c r="W19" i="2"/>
  <c r="AB19" i="2"/>
  <c r="AF19" i="2" s="1"/>
  <c r="K20" i="2"/>
  <c r="S20" i="2"/>
  <c r="W20" i="2"/>
  <c r="AB20" i="2"/>
  <c r="AF20" i="2" s="1"/>
  <c r="K21" i="2"/>
  <c r="S21" i="2"/>
  <c r="W21" i="2"/>
  <c r="AB21" i="2"/>
  <c r="AF21" i="2" s="1"/>
  <c r="K22" i="2"/>
  <c r="S22" i="2"/>
  <c r="W22" i="2"/>
  <c r="AB22" i="2"/>
  <c r="AF22" i="2" s="1"/>
  <c r="K23" i="2"/>
  <c r="S23" i="2"/>
  <c r="W23" i="2"/>
  <c r="AB23" i="2"/>
  <c r="AF23" i="2" s="1"/>
  <c r="K24" i="2"/>
  <c r="S24" i="2"/>
  <c r="W24" i="2"/>
  <c r="AB24" i="2"/>
  <c r="AF24" i="2" s="1"/>
  <c r="K25" i="2"/>
  <c r="S25" i="2"/>
  <c r="W25" i="2"/>
  <c r="AB25" i="2"/>
  <c r="AF25" i="2" s="1"/>
  <c r="K26" i="2"/>
  <c r="S26" i="2"/>
  <c r="W26" i="2"/>
  <c r="AB26" i="2"/>
  <c r="AF26" i="2" s="1"/>
  <c r="K27" i="2"/>
  <c r="S27" i="2"/>
  <c r="W27" i="2"/>
  <c r="AB27" i="2"/>
  <c r="AF27" i="2" s="1"/>
  <c r="K28" i="2"/>
  <c r="S28" i="2"/>
  <c r="W28" i="2"/>
  <c r="AB28" i="2"/>
  <c r="AF28" i="2" s="1"/>
  <c r="K29" i="2"/>
  <c r="S29" i="2"/>
  <c r="W29" i="2"/>
  <c r="AB29" i="2"/>
  <c r="AF29" i="2" s="1"/>
  <c r="S26" i="4"/>
  <c r="CG26" i="4"/>
  <c r="DC12" i="2" l="1"/>
  <c r="QY30" i="2"/>
  <c r="QY37" i="2" s="1"/>
  <c r="QT33" i="2"/>
  <c r="QT32" i="2"/>
  <c r="QW25" i="2"/>
  <c r="QW29" i="2"/>
  <c r="QW23" i="2"/>
  <c r="QW13" i="2"/>
  <c r="QW24" i="2"/>
  <c r="QW28" i="2"/>
  <c r="QW21" i="2"/>
  <c r="QW16" i="2"/>
  <c r="QW15" i="2"/>
  <c r="QW18" i="2"/>
  <c r="QW26" i="2"/>
  <c r="N48" i="1"/>
  <c r="AE21" i="2"/>
  <c r="AE28" i="2"/>
  <c r="AE20" i="2"/>
  <c r="AE23" i="2"/>
  <c r="AE19" i="2"/>
  <c r="QT34" i="2" l="1"/>
  <c r="CR31" i="6"/>
  <c r="CR27" i="6"/>
  <c r="CR25" i="6"/>
  <c r="CR23" i="6"/>
  <c r="CR21" i="6"/>
  <c r="CR19" i="6"/>
  <c r="CR17" i="6"/>
  <c r="CR15" i="6"/>
  <c r="CR13" i="6"/>
  <c r="CR28" i="6"/>
  <c r="CR26" i="6"/>
  <c r="CR24" i="6"/>
  <c r="CR22" i="6"/>
  <c r="CR20" i="6"/>
  <c r="CR18" i="6"/>
  <c r="CR16" i="6"/>
  <c r="CR14" i="6"/>
  <c r="CR12" i="6"/>
  <c r="CR11" i="6"/>
  <c r="E426" i="8"/>
  <c r="E389" i="8" s="1"/>
  <c r="E424" i="8"/>
  <c r="E383" i="8"/>
  <c r="E367" i="8"/>
  <c r="E365" i="8"/>
  <c r="E309" i="8"/>
  <c r="E296" i="8" s="1"/>
  <c r="E307" i="8"/>
  <c r="E294" i="8" s="1"/>
  <c r="E225" i="8"/>
  <c r="E203" i="8" s="1"/>
  <c r="E223" i="8"/>
  <c r="D102" i="8"/>
  <c r="E12" i="8"/>
  <c r="E379" i="8" l="1"/>
  <c r="E384" i="8"/>
  <c r="E380" i="8" s="1"/>
  <c r="CR29" i="6"/>
  <c r="DC30" i="6" l="1"/>
  <c r="DD30" i="6"/>
  <c r="DC34" i="6"/>
  <c r="DD34" i="6"/>
  <c r="DC35" i="6"/>
  <c r="DD35" i="6"/>
  <c r="BQ32" i="6" l="1"/>
  <c r="JE31" i="17" s="1"/>
  <c r="JF31" i="17" s="1"/>
  <c r="BQ31" i="6"/>
  <c r="JE30" i="17" s="1"/>
  <c r="BQ12" i="6"/>
  <c r="JE11" i="17" s="1"/>
  <c r="BQ13" i="6"/>
  <c r="JE12" i="17" s="1"/>
  <c r="BQ14" i="6"/>
  <c r="JE13" i="17" s="1"/>
  <c r="BQ15" i="6"/>
  <c r="JE14" i="17" s="1"/>
  <c r="BQ16" i="6"/>
  <c r="JE15" i="17" s="1"/>
  <c r="BQ17" i="6"/>
  <c r="JE16" i="17" s="1"/>
  <c r="BQ18" i="6"/>
  <c r="JE17" i="17" s="1"/>
  <c r="BQ19" i="6"/>
  <c r="JE18" i="17" s="1"/>
  <c r="BQ20" i="6"/>
  <c r="JE19" i="17" s="1"/>
  <c r="BQ21" i="6"/>
  <c r="JE20" i="17" s="1"/>
  <c r="BQ22" i="6"/>
  <c r="JE21" i="17" s="1"/>
  <c r="BQ23" i="6"/>
  <c r="JE22" i="17" s="1"/>
  <c r="BQ24" i="6"/>
  <c r="JE23" i="17" s="1"/>
  <c r="BQ25" i="6"/>
  <c r="JE24" i="17" s="1"/>
  <c r="BQ26" i="6"/>
  <c r="JE25" i="17" s="1"/>
  <c r="BQ27" i="6"/>
  <c r="JE26" i="17" s="1"/>
  <c r="BQ28" i="6"/>
  <c r="JE27" i="17" s="1"/>
  <c r="BQ11" i="6"/>
  <c r="JE10" i="17" s="1"/>
  <c r="QB30" i="2"/>
  <c r="QO34" i="2"/>
  <c r="QR34" i="2"/>
  <c r="QQ34" i="2"/>
  <c r="QR30" i="2"/>
  <c r="QQ30" i="2"/>
  <c r="QF34" i="2"/>
  <c r="QE34" i="2"/>
  <c r="QF30" i="2"/>
  <c r="QE30" i="2"/>
  <c r="QC34" i="2"/>
  <c r="QB34" i="2"/>
  <c r="JF30" i="17" l="1"/>
  <c r="JF32" i="17" s="1"/>
  <c r="JF35" i="17" s="1"/>
  <c r="JE32" i="17"/>
  <c r="JE28" i="17"/>
  <c r="QQ37" i="2"/>
  <c r="QE37" i="2"/>
  <c r="QF37" i="2"/>
  <c r="QR37" i="2"/>
  <c r="QN34" i="2"/>
  <c r="QC30" i="2"/>
  <c r="QC37" i="2" s="1"/>
  <c r="QO30" i="2"/>
  <c r="QO37" i="2" s="1"/>
  <c r="QN30" i="2"/>
  <c r="QB37" i="2"/>
  <c r="JE35" i="17" l="1"/>
  <c r="JE36" i="17" s="1"/>
  <c r="QN37" i="2"/>
  <c r="BW61" i="2"/>
  <c r="BS61" i="2"/>
  <c r="DU61" i="2" l="1"/>
  <c r="DM61" i="2"/>
  <c r="IJ61" i="2"/>
  <c r="IG61" i="2"/>
  <c r="JQ60" i="2"/>
  <c r="JQ59" i="2"/>
  <c r="JQ56" i="2"/>
  <c r="JV60" i="2"/>
  <c r="JV59" i="2"/>
  <c r="JV56" i="2"/>
  <c r="KA55" i="2"/>
  <c r="KA54" i="2"/>
  <c r="KF55" i="2"/>
  <c r="KF54" i="2"/>
  <c r="JQ61" i="2" l="1"/>
  <c r="EF12" i="2" l="1"/>
  <c r="KS12" i="2"/>
  <c r="KT12" i="2"/>
  <c r="GE10" i="17" s="1"/>
  <c r="EF13" i="2"/>
  <c r="KS13" i="2"/>
  <c r="KT13" i="2"/>
  <c r="GE11" i="17" s="1"/>
  <c r="EF14" i="2"/>
  <c r="KS14" i="2"/>
  <c r="KT14" i="2"/>
  <c r="GE12" i="17" s="1"/>
  <c r="EF15" i="2"/>
  <c r="KS15" i="2"/>
  <c r="KT15" i="2"/>
  <c r="GE13" i="17" s="1"/>
  <c r="EF16" i="2"/>
  <c r="KS16" i="2"/>
  <c r="KT16" i="2"/>
  <c r="GE14" i="17" s="1"/>
  <c r="EF17" i="2"/>
  <c r="KS17" i="2"/>
  <c r="KT17" i="2"/>
  <c r="GE15" i="17" s="1"/>
  <c r="EF18" i="2"/>
  <c r="KS18" i="2"/>
  <c r="KT18" i="2"/>
  <c r="GE16" i="17" s="1"/>
  <c r="EF19" i="2"/>
  <c r="KS19" i="2"/>
  <c r="KT19" i="2"/>
  <c r="GE17" i="17" s="1"/>
  <c r="EF20" i="2"/>
  <c r="KS20" i="2"/>
  <c r="KT20" i="2"/>
  <c r="GE18" i="17" s="1"/>
  <c r="EF21" i="2"/>
  <c r="KS21" i="2"/>
  <c r="KT21" i="2"/>
  <c r="GE19" i="17" s="1"/>
  <c r="EF22" i="2"/>
  <c r="KS22" i="2"/>
  <c r="KT22" i="2"/>
  <c r="GE20" i="17" s="1"/>
  <c r="EF23" i="2"/>
  <c r="KS23" i="2"/>
  <c r="KT23" i="2"/>
  <c r="GE21" i="17" s="1"/>
  <c r="EF24" i="2"/>
  <c r="KS24" i="2"/>
  <c r="KT24" i="2"/>
  <c r="GE22" i="17" s="1"/>
  <c r="EF25" i="2"/>
  <c r="KS25" i="2"/>
  <c r="KT25" i="2"/>
  <c r="GE23" i="17" s="1"/>
  <c r="EF26" i="2"/>
  <c r="KS26" i="2"/>
  <c r="KT26" i="2"/>
  <c r="GE24" i="17" s="1"/>
  <c r="EF27" i="2"/>
  <c r="KS27" i="2"/>
  <c r="KT27" i="2"/>
  <c r="GE25" i="17" s="1"/>
  <c r="EF28" i="2"/>
  <c r="KS28" i="2"/>
  <c r="KT28" i="2"/>
  <c r="GE26" i="17" s="1"/>
  <c r="EF29" i="2"/>
  <c r="KS29" i="2"/>
  <c r="KT29" i="2"/>
  <c r="GE27" i="17" s="1"/>
  <c r="EG30" i="2"/>
  <c r="EH30" i="2"/>
  <c r="JY30" i="2"/>
  <c r="JZ30" i="2"/>
  <c r="KI30" i="2"/>
  <c r="KJ30" i="2"/>
  <c r="LC30" i="2"/>
  <c r="LD30" i="2"/>
  <c r="EF32" i="2"/>
  <c r="EF33" i="2"/>
  <c r="EG34" i="2"/>
  <c r="EH34" i="2"/>
  <c r="JY34" i="2"/>
  <c r="JZ34" i="2"/>
  <c r="KF34" i="2"/>
  <c r="KI34" i="2"/>
  <c r="KJ34" i="2"/>
  <c r="KZ34" i="2"/>
  <c r="LC34" i="2"/>
  <c r="LD34" i="2"/>
  <c r="GE28" i="17" l="1"/>
  <c r="GE35" i="17" s="1"/>
  <c r="EH37" i="2"/>
  <c r="EH42" i="2" s="1"/>
  <c r="KJ37" i="2"/>
  <c r="EF30" i="2"/>
  <c r="EF34" i="2"/>
  <c r="JZ37" i="2"/>
  <c r="KP29" i="2"/>
  <c r="KP25" i="2"/>
  <c r="KP21" i="2"/>
  <c r="KP26" i="2"/>
  <c r="KP22" i="2"/>
  <c r="KP18" i="2"/>
  <c r="KP16" i="2"/>
  <c r="KP14" i="2"/>
  <c r="KP12" i="2"/>
  <c r="KP27" i="2"/>
  <c r="KP23" i="2"/>
  <c r="KP19" i="2"/>
  <c r="KP17" i="2"/>
  <c r="KP15" i="2"/>
  <c r="KP13" i="2"/>
  <c r="KP28" i="2"/>
  <c r="KP24" i="2"/>
  <c r="KP20" i="2"/>
  <c r="LD37" i="2"/>
  <c r="LC37" i="2"/>
  <c r="JY37" i="2"/>
  <c r="KI37" i="2"/>
  <c r="JV30" i="2"/>
  <c r="EG37" i="2"/>
  <c r="EG42" i="2" s="1"/>
  <c r="KO28" i="2"/>
  <c r="GA26" i="17" s="1"/>
  <c r="KT34" i="2"/>
  <c r="KS34" i="2"/>
  <c r="KS30" i="2"/>
  <c r="EC29" i="2"/>
  <c r="KO24" i="2"/>
  <c r="GA22" i="17" s="1"/>
  <c r="EC15" i="2"/>
  <c r="KX34" i="2"/>
  <c r="EE34" i="2"/>
  <c r="KF30" i="2"/>
  <c r="KF37" i="2" s="1"/>
  <c r="JV34" i="2"/>
  <c r="KZ30" i="2"/>
  <c r="KZ37" i="2" s="1"/>
  <c r="KO18" i="2"/>
  <c r="GA16" i="17" s="1"/>
  <c r="KE34" i="2"/>
  <c r="JU34" i="2"/>
  <c r="ED34" i="2"/>
  <c r="JU30" i="2"/>
  <c r="ED30" i="2"/>
  <c r="KY30" i="2"/>
  <c r="KT30" i="2"/>
  <c r="KY34" i="2"/>
  <c r="JT30" i="2"/>
  <c r="KE30" i="2"/>
  <c r="EE30" i="2"/>
  <c r="KP34" i="2"/>
  <c r="KD34" i="2"/>
  <c r="KO20" i="2"/>
  <c r="GA18" i="17" s="1"/>
  <c r="KO15" i="2"/>
  <c r="GA13" i="17" s="1"/>
  <c r="KO19" i="2"/>
  <c r="GA17" i="17" s="1"/>
  <c r="KO14" i="2"/>
  <c r="GA12" i="17" s="1"/>
  <c r="KO12" i="2"/>
  <c r="GA10" i="17" s="1"/>
  <c r="KO29" i="2"/>
  <c r="GA27" i="17" s="1"/>
  <c r="KO27" i="2"/>
  <c r="GA25" i="17" s="1"/>
  <c r="KO25" i="2"/>
  <c r="GA23" i="17" s="1"/>
  <c r="KO17" i="2"/>
  <c r="GA15" i="17" s="1"/>
  <c r="KO23" i="2"/>
  <c r="GA21" i="17" s="1"/>
  <c r="KO22" i="2"/>
  <c r="GA20" i="17" s="1"/>
  <c r="KO21" i="2"/>
  <c r="GA19" i="17" s="1"/>
  <c r="KO13" i="2"/>
  <c r="GA11" i="17" s="1"/>
  <c r="EC17" i="2"/>
  <c r="EC28" i="2"/>
  <c r="KO26" i="2"/>
  <c r="GA24" i="17" s="1"/>
  <c r="KO16" i="2"/>
  <c r="GA14" i="17" s="1"/>
  <c r="EC33" i="2"/>
  <c r="EC32" i="2"/>
  <c r="KN26" i="2"/>
  <c r="EC26" i="2"/>
  <c r="KN24" i="2"/>
  <c r="EC24" i="2"/>
  <c r="KN22" i="2"/>
  <c r="EC22" i="2"/>
  <c r="KN20" i="2"/>
  <c r="EC20" i="2"/>
  <c r="KN18" i="2"/>
  <c r="EC18" i="2"/>
  <c r="KN16" i="2"/>
  <c r="EC16" i="2"/>
  <c r="KN14" i="2"/>
  <c r="EC14" i="2"/>
  <c r="KN12" i="2"/>
  <c r="EC12" i="2"/>
  <c r="KN29" i="2"/>
  <c r="KN28" i="2"/>
  <c r="KN27" i="2"/>
  <c r="EC27" i="2"/>
  <c r="KN25" i="2"/>
  <c r="EC25" i="2"/>
  <c r="KN23" i="2"/>
  <c r="EC23" i="2"/>
  <c r="KN21" i="2"/>
  <c r="EC21" i="2"/>
  <c r="KN19" i="2"/>
  <c r="EC19" i="2"/>
  <c r="KN17" i="2"/>
  <c r="KN15" i="2"/>
  <c r="KN13" i="2"/>
  <c r="EC13" i="2"/>
  <c r="JT34" i="2"/>
  <c r="KX30" i="2"/>
  <c r="KD30" i="2"/>
  <c r="GA28" i="17" l="1"/>
  <c r="GA35" i="17" s="1"/>
  <c r="KF60" i="2"/>
  <c r="KS37" i="2"/>
  <c r="EF37" i="2"/>
  <c r="JZ38" i="2"/>
  <c r="JZ42" i="2" s="1"/>
  <c r="KX37" i="2"/>
  <c r="KK13" i="2"/>
  <c r="KK12" i="2"/>
  <c r="KK16" i="2"/>
  <c r="KK20" i="2"/>
  <c r="KK24" i="2"/>
  <c r="KK28" i="2"/>
  <c r="KK22" i="2"/>
  <c r="KK15" i="2"/>
  <c r="KK19" i="2"/>
  <c r="KK23" i="2"/>
  <c r="KK27" i="2"/>
  <c r="KK14" i="2"/>
  <c r="KK18" i="2"/>
  <c r="KK26" i="2"/>
  <c r="KK17" i="2"/>
  <c r="KK21" i="2"/>
  <c r="KK25" i="2"/>
  <c r="KK29" i="2"/>
  <c r="JY38" i="2"/>
  <c r="JY42" i="2" s="1"/>
  <c r="JV37" i="2"/>
  <c r="EE37" i="2"/>
  <c r="B17" i="7" s="1"/>
  <c r="EC34" i="2"/>
  <c r="KT37" i="2"/>
  <c r="KP30" i="2"/>
  <c r="KP37" i="2" s="1"/>
  <c r="JV54" i="2"/>
  <c r="ED37" i="2"/>
  <c r="JV55" i="2"/>
  <c r="KD37" i="2"/>
  <c r="JT37" i="2"/>
  <c r="KE37" i="2"/>
  <c r="JU37" i="2"/>
  <c r="KN34" i="2"/>
  <c r="KY37" i="2"/>
  <c r="EC30" i="2"/>
  <c r="KO34" i="2"/>
  <c r="KO30" i="2"/>
  <c r="KU30" i="2"/>
  <c r="KU34" i="2"/>
  <c r="KA34" i="2"/>
  <c r="KN30" i="2"/>
  <c r="KA30" i="2"/>
  <c r="KF59" i="2" l="1"/>
  <c r="KF56" i="2"/>
  <c r="KF53" i="2"/>
  <c r="EC37" i="2"/>
  <c r="KK34" i="2"/>
  <c r="JQ55" i="2"/>
  <c r="JQ54" i="2"/>
  <c r="JV57" i="2"/>
  <c r="JV53" i="2"/>
  <c r="KA37" i="2"/>
  <c r="JU38" i="2"/>
  <c r="B23" i="7" s="1"/>
  <c r="JT38" i="2"/>
  <c r="KN37" i="2"/>
  <c r="KO37" i="2"/>
  <c r="JQ37" i="2"/>
  <c r="KU37" i="2"/>
  <c r="KK30" i="2"/>
  <c r="KF57" i="2" l="1"/>
  <c r="KA60" i="2"/>
  <c r="KA53" i="2"/>
  <c r="KK37" i="2"/>
  <c r="KA56" i="2"/>
  <c r="JQ53" i="2"/>
  <c r="JQ57" i="2"/>
  <c r="KA57" i="2" l="1"/>
  <c r="KA59" i="2"/>
  <c r="E503" i="8"/>
  <c r="F503" i="8"/>
  <c r="D503" i="8"/>
  <c r="E425" i="8"/>
  <c r="F425" i="8"/>
  <c r="D425" i="8"/>
  <c r="H426" i="8"/>
  <c r="H424" i="8"/>
  <c r="G424" i="8"/>
  <c r="I424" i="8" s="1"/>
  <c r="E308" i="8"/>
  <c r="E295" i="8" s="1"/>
  <c r="E297" i="8" s="1"/>
  <c r="F308" i="8"/>
  <c r="F295" i="8" s="1"/>
  <c r="F297" i="8" s="1"/>
  <c r="H297" i="8" l="1"/>
  <c r="G425" i="8"/>
  <c r="I425" i="8" s="1"/>
  <c r="H425" i="8"/>
  <c r="G426" i="8"/>
  <c r="I426" i="8" l="1"/>
  <c r="AO32" i="6" l="1"/>
  <c r="FE31" i="17" s="1"/>
  <c r="FF31" i="17" s="1"/>
  <c r="AO31" i="6"/>
  <c r="FE30" i="17" s="1"/>
  <c r="FF30" i="17" s="1"/>
  <c r="AO12" i="6"/>
  <c r="FE11" i="17" s="1"/>
  <c r="AO13" i="6"/>
  <c r="FE12" i="17" s="1"/>
  <c r="AO14" i="6"/>
  <c r="FE13" i="17" s="1"/>
  <c r="AO15" i="6"/>
  <c r="FE14" i="17" s="1"/>
  <c r="AO16" i="6"/>
  <c r="FE15" i="17" s="1"/>
  <c r="AO17" i="6"/>
  <c r="FE16" i="17" s="1"/>
  <c r="AO18" i="6"/>
  <c r="FE17" i="17" s="1"/>
  <c r="AO19" i="6"/>
  <c r="FE18" i="17" s="1"/>
  <c r="AO20" i="6"/>
  <c r="FE19" i="17" s="1"/>
  <c r="AO21" i="6"/>
  <c r="FE20" i="17" s="1"/>
  <c r="AO22" i="6"/>
  <c r="FE21" i="17" s="1"/>
  <c r="AO23" i="6"/>
  <c r="FE22" i="17" s="1"/>
  <c r="AO24" i="6"/>
  <c r="FE23" i="17" s="1"/>
  <c r="AO25" i="6"/>
  <c r="FE24" i="17" s="1"/>
  <c r="AO26" i="6"/>
  <c r="FE25" i="17" s="1"/>
  <c r="AO27" i="6"/>
  <c r="FE26" i="17" s="1"/>
  <c r="AO28" i="6"/>
  <c r="FE27" i="17" s="1"/>
  <c r="AO11" i="6"/>
  <c r="FE10" i="17" s="1"/>
  <c r="FF32" i="17" l="1"/>
  <c r="FF35" i="17" s="1"/>
  <c r="FE32" i="17"/>
  <c r="FE28" i="17"/>
  <c r="AN32" i="6"/>
  <c r="FA31" i="17" s="1"/>
  <c r="FB31" i="17" s="1"/>
  <c r="AN31" i="6"/>
  <c r="FA30" i="17" s="1"/>
  <c r="FB30" i="17" s="1"/>
  <c r="AN12" i="6"/>
  <c r="FA11" i="17" s="1"/>
  <c r="AN13" i="6"/>
  <c r="FA12" i="17" s="1"/>
  <c r="AN14" i="6"/>
  <c r="FA13" i="17" s="1"/>
  <c r="AN15" i="6"/>
  <c r="FA14" i="17" s="1"/>
  <c r="AN16" i="6"/>
  <c r="FA15" i="17" s="1"/>
  <c r="AN17" i="6"/>
  <c r="FA16" i="17" s="1"/>
  <c r="AN18" i="6"/>
  <c r="FA17" i="17" s="1"/>
  <c r="AN19" i="6"/>
  <c r="FA18" i="17" s="1"/>
  <c r="AN20" i="6"/>
  <c r="FA19" i="17" s="1"/>
  <c r="AN21" i="6"/>
  <c r="FA20" i="17" s="1"/>
  <c r="AN22" i="6"/>
  <c r="FA21" i="17" s="1"/>
  <c r="AN23" i="6"/>
  <c r="FA22" i="17" s="1"/>
  <c r="AN24" i="6"/>
  <c r="FA23" i="17" s="1"/>
  <c r="AN25" i="6"/>
  <c r="FA24" i="17" s="1"/>
  <c r="AN26" i="6"/>
  <c r="FA25" i="17" s="1"/>
  <c r="AN27" i="6"/>
  <c r="FA26" i="17" s="1"/>
  <c r="AN28" i="6"/>
  <c r="FA27" i="17" s="1"/>
  <c r="AN11" i="6"/>
  <c r="FA10" i="17" s="1"/>
  <c r="FE35" i="17" l="1"/>
  <c r="FE36" i="17" s="1"/>
  <c r="FB32" i="17"/>
  <c r="FB35" i="17" s="1"/>
  <c r="FA28" i="17"/>
  <c r="FA32" i="17"/>
  <c r="CM32" i="6"/>
  <c r="CK32" i="6" s="1"/>
  <c r="CM31" i="6"/>
  <c r="CK31" i="6" s="1"/>
  <c r="CM12" i="6"/>
  <c r="CK12" i="6" s="1"/>
  <c r="CM13" i="6"/>
  <c r="CK13" i="6" s="1"/>
  <c r="CM14" i="6"/>
  <c r="CK14" i="6" s="1"/>
  <c r="CM15" i="6"/>
  <c r="CK15" i="6" s="1"/>
  <c r="CM16" i="6"/>
  <c r="CK16" i="6" s="1"/>
  <c r="CM17" i="6"/>
  <c r="CK17" i="6" s="1"/>
  <c r="CM18" i="6"/>
  <c r="CK18" i="6" s="1"/>
  <c r="CM19" i="6"/>
  <c r="CK19" i="6" s="1"/>
  <c r="CM20" i="6"/>
  <c r="CK20" i="6" s="1"/>
  <c r="CM21" i="6"/>
  <c r="CK21" i="6" s="1"/>
  <c r="CM22" i="6"/>
  <c r="CK22" i="6" s="1"/>
  <c r="CM23" i="6"/>
  <c r="CK23" i="6" s="1"/>
  <c r="CM24" i="6"/>
  <c r="CK24" i="6" s="1"/>
  <c r="CM25" i="6"/>
  <c r="CK25" i="6" s="1"/>
  <c r="CM26" i="6"/>
  <c r="CK26" i="6" s="1"/>
  <c r="CM27" i="6"/>
  <c r="CK27" i="6" s="1"/>
  <c r="CM28" i="6"/>
  <c r="CK28" i="6" s="1"/>
  <c r="CM11" i="6"/>
  <c r="CK11" i="6" s="1"/>
  <c r="FA35" i="17" l="1"/>
  <c r="FA36" i="17" s="1"/>
  <c r="CK29" i="6"/>
  <c r="CM33" i="6"/>
  <c r="CM29" i="6"/>
  <c r="CM36" i="6" l="1"/>
  <c r="CL27" i="6"/>
  <c r="CJ27" i="6" s="1"/>
  <c r="CL23" i="6"/>
  <c r="CJ23" i="6" s="1"/>
  <c r="CL19" i="6"/>
  <c r="CJ19" i="6" s="1"/>
  <c r="CL15" i="6"/>
  <c r="CJ15" i="6" s="1"/>
  <c r="CL28" i="6"/>
  <c r="CJ28" i="6" s="1"/>
  <c r="CL24" i="6"/>
  <c r="CJ24" i="6" s="1"/>
  <c r="CL20" i="6"/>
  <c r="CJ20" i="6" s="1"/>
  <c r="CL16" i="6"/>
  <c r="CJ16" i="6" s="1"/>
  <c r="CL12" i="6"/>
  <c r="CJ12" i="6" s="1"/>
  <c r="CL11" i="6"/>
  <c r="CJ11" i="6" s="1"/>
  <c r="CL25" i="6"/>
  <c r="CJ25" i="6" s="1"/>
  <c r="CL21" i="6"/>
  <c r="CJ21" i="6" s="1"/>
  <c r="CL17" i="6"/>
  <c r="CJ17" i="6" s="1"/>
  <c r="CL26" i="6"/>
  <c r="CJ26" i="6" s="1"/>
  <c r="CL22" i="6"/>
  <c r="CJ22" i="6" s="1"/>
  <c r="CL18" i="6"/>
  <c r="CJ18" i="6" s="1"/>
  <c r="CL14" i="6"/>
  <c r="CJ14" i="6" s="1"/>
  <c r="CL32" i="6"/>
  <c r="CL31" i="6"/>
  <c r="CJ31" i="6" s="1"/>
  <c r="CL13" i="6"/>
  <c r="CJ13" i="6" s="1"/>
  <c r="F28" i="11"/>
  <c r="F29" i="11"/>
  <c r="CJ29" i="6" l="1"/>
  <c r="F26" i="11"/>
  <c r="C56" i="7"/>
  <c r="C64" i="7" s="1"/>
  <c r="CL29" i="6"/>
  <c r="CL33" i="6"/>
  <c r="CL36" i="6" l="1"/>
  <c r="F17" i="11" l="1"/>
  <c r="F48" i="11" s="1"/>
  <c r="F12" i="11" l="1"/>
  <c r="D319" i="8"/>
  <c r="F55" i="11" l="1"/>
  <c r="C8" i="5"/>
  <c r="RH12" i="2" s="1"/>
  <c r="RE12" i="2" s="1"/>
  <c r="RD12" i="2" s="1"/>
  <c r="C9" i="5"/>
  <c r="RH13" i="2" s="1"/>
  <c r="RE13" i="2" s="1"/>
  <c r="RD13" i="2" s="1"/>
  <c r="C10" i="5"/>
  <c r="RH14" i="2" s="1"/>
  <c r="RE14" i="2" s="1"/>
  <c r="RD14" i="2" s="1"/>
  <c r="C11" i="5"/>
  <c r="RH15" i="2" s="1"/>
  <c r="RE15" i="2" s="1"/>
  <c r="RD15" i="2" s="1"/>
  <c r="C12" i="5"/>
  <c r="RH16" i="2" s="1"/>
  <c r="RE16" i="2" s="1"/>
  <c r="RD16" i="2" s="1"/>
  <c r="C13" i="5"/>
  <c r="RH17" i="2" s="1"/>
  <c r="RE17" i="2" s="1"/>
  <c r="RD17" i="2" s="1"/>
  <c r="C14" i="5"/>
  <c r="RH18" i="2" s="1"/>
  <c r="RE18" i="2" s="1"/>
  <c r="RD18" i="2" s="1"/>
  <c r="C15" i="5"/>
  <c r="RH19" i="2" s="1"/>
  <c r="RE19" i="2" s="1"/>
  <c r="RD19" i="2" s="1"/>
  <c r="C16" i="5"/>
  <c r="RH20" i="2" s="1"/>
  <c r="RE20" i="2" s="1"/>
  <c r="RD20" i="2" s="1"/>
  <c r="C17" i="5"/>
  <c r="RH21" i="2" s="1"/>
  <c r="RE21" i="2" s="1"/>
  <c r="RD21" i="2" s="1"/>
  <c r="C18" i="5"/>
  <c r="RH22" i="2" s="1"/>
  <c r="RE22" i="2" s="1"/>
  <c r="RD22" i="2" s="1"/>
  <c r="C19" i="5"/>
  <c r="RH23" i="2" s="1"/>
  <c r="RE23" i="2" s="1"/>
  <c r="RD23" i="2" s="1"/>
  <c r="C20" i="5"/>
  <c r="RH24" i="2" s="1"/>
  <c r="RE24" i="2" s="1"/>
  <c r="RD24" i="2" s="1"/>
  <c r="C21" i="5"/>
  <c r="RH25" i="2" s="1"/>
  <c r="RE25" i="2" s="1"/>
  <c r="RD25" i="2" s="1"/>
  <c r="C22" i="5"/>
  <c r="RH26" i="2" s="1"/>
  <c r="RE26" i="2" s="1"/>
  <c r="RD26" i="2" s="1"/>
  <c r="C23" i="5"/>
  <c r="RH27" i="2" s="1"/>
  <c r="RE27" i="2" s="1"/>
  <c r="RD27" i="2" s="1"/>
  <c r="C24" i="5"/>
  <c r="RH28" i="2" s="1"/>
  <c r="RE28" i="2" s="1"/>
  <c r="RD28" i="2" s="1"/>
  <c r="C25" i="5"/>
  <c r="RH29" i="2" s="1"/>
  <c r="RE29" i="2" s="1"/>
  <c r="RD29" i="2" s="1"/>
  <c r="C26" i="5"/>
  <c r="RH32" i="2" s="1"/>
  <c r="RE32" i="2" s="1"/>
  <c r="RD32" i="2" s="1"/>
  <c r="C27" i="5"/>
  <c r="RH33" i="2" s="1"/>
  <c r="RE33" i="2" s="1"/>
  <c r="RD33" i="2" s="1"/>
  <c r="I27" i="11"/>
  <c r="H27" i="11"/>
  <c r="IP12" i="2"/>
  <c r="IV12" i="2"/>
  <c r="JC12" i="2"/>
  <c r="JD12" i="2"/>
  <c r="FO10" i="17" s="1"/>
  <c r="JH12" i="2"/>
  <c r="IP13" i="2"/>
  <c r="JH13" i="2"/>
  <c r="IP14" i="2"/>
  <c r="IV14" i="2"/>
  <c r="JC14" i="2"/>
  <c r="JD14" i="2"/>
  <c r="FO12" i="17" s="1"/>
  <c r="S12" i="17" s="1"/>
  <c r="JH14" i="2"/>
  <c r="IP15" i="2"/>
  <c r="IV15" i="2"/>
  <c r="JC15" i="2"/>
  <c r="JD15" i="2"/>
  <c r="FO13" i="17" s="1"/>
  <c r="S13" i="17" s="1"/>
  <c r="JH15" i="2"/>
  <c r="IP16" i="2"/>
  <c r="IV16" i="2"/>
  <c r="JC16" i="2"/>
  <c r="JD16" i="2"/>
  <c r="FO14" i="17" s="1"/>
  <c r="S14" i="17" s="1"/>
  <c r="JH16" i="2"/>
  <c r="IP17" i="2"/>
  <c r="IV17" i="2"/>
  <c r="JC17" i="2"/>
  <c r="JD17" i="2"/>
  <c r="FO15" i="17" s="1"/>
  <c r="S15" i="17" s="1"/>
  <c r="JH17" i="2"/>
  <c r="IP18" i="2"/>
  <c r="IV18" i="2"/>
  <c r="JC18" i="2"/>
  <c r="JD18" i="2"/>
  <c r="FO16" i="17" s="1"/>
  <c r="S16" i="17" s="1"/>
  <c r="JH18" i="2"/>
  <c r="IP19" i="2"/>
  <c r="JH19" i="2"/>
  <c r="IP20" i="2"/>
  <c r="IV20" i="2"/>
  <c r="JC20" i="2"/>
  <c r="JD20" i="2"/>
  <c r="FO18" i="17" s="1"/>
  <c r="S18" i="17" s="1"/>
  <c r="JH20" i="2"/>
  <c r="IP21" i="2"/>
  <c r="IV21" i="2"/>
  <c r="JC21" i="2"/>
  <c r="JD21" i="2"/>
  <c r="FO19" i="17" s="1"/>
  <c r="S19" i="17" s="1"/>
  <c r="JH21" i="2"/>
  <c r="IP22" i="2"/>
  <c r="IV22" i="2"/>
  <c r="JC22" i="2"/>
  <c r="JD22" i="2"/>
  <c r="FO20" i="17" s="1"/>
  <c r="S20" i="17" s="1"/>
  <c r="JH22" i="2"/>
  <c r="IP23" i="2"/>
  <c r="IV23" i="2"/>
  <c r="JC23" i="2"/>
  <c r="JD23" i="2"/>
  <c r="FO21" i="17" s="1"/>
  <c r="S21" i="17" s="1"/>
  <c r="JH23" i="2"/>
  <c r="IP24" i="2"/>
  <c r="IV24" i="2"/>
  <c r="JC24" i="2"/>
  <c r="JD24" i="2"/>
  <c r="FO22" i="17" s="1"/>
  <c r="S22" i="17" s="1"/>
  <c r="JH24" i="2"/>
  <c r="IP25" i="2"/>
  <c r="IV25" i="2"/>
  <c r="JC25" i="2"/>
  <c r="JD25" i="2"/>
  <c r="FO23" i="17" s="1"/>
  <c r="S23" i="17" s="1"/>
  <c r="JH25" i="2"/>
  <c r="IP26" i="2"/>
  <c r="IV26" i="2"/>
  <c r="JC26" i="2"/>
  <c r="JD26" i="2"/>
  <c r="FO24" i="17" s="1"/>
  <c r="S24" i="17" s="1"/>
  <c r="JH26" i="2"/>
  <c r="IP27" i="2"/>
  <c r="IV27" i="2"/>
  <c r="JC27" i="2"/>
  <c r="JD27" i="2"/>
  <c r="FO25" i="17" s="1"/>
  <c r="S25" i="17" s="1"/>
  <c r="JH27" i="2"/>
  <c r="IP28" i="2"/>
  <c r="IV28" i="2"/>
  <c r="JC28" i="2"/>
  <c r="JD28" i="2"/>
  <c r="FO26" i="17" s="1"/>
  <c r="S26" i="17" s="1"/>
  <c r="JH28" i="2"/>
  <c r="IP29" i="2"/>
  <c r="JH29" i="2"/>
  <c r="IQ30" i="2"/>
  <c r="IR30" i="2"/>
  <c r="JI30" i="2"/>
  <c r="JJ30" i="2"/>
  <c r="IP32" i="2"/>
  <c r="IP33" i="2"/>
  <c r="IQ34" i="2"/>
  <c r="IR34" i="2"/>
  <c r="IW34" i="2"/>
  <c r="IX34" i="2"/>
  <c r="JI34" i="2"/>
  <c r="JJ34" i="2"/>
  <c r="BP32" i="6"/>
  <c r="JA31" i="17" s="1"/>
  <c r="JB31" i="17" s="1"/>
  <c r="BP31" i="6"/>
  <c r="JA30" i="17" s="1"/>
  <c r="BP12" i="6"/>
  <c r="JA11" i="17" s="1"/>
  <c r="BP13" i="6"/>
  <c r="JA12" i="17" s="1"/>
  <c r="BP14" i="6"/>
  <c r="JA13" i="17" s="1"/>
  <c r="BP15" i="6"/>
  <c r="JA14" i="17" s="1"/>
  <c r="BP16" i="6"/>
  <c r="JA15" i="17" s="1"/>
  <c r="BP17" i="6"/>
  <c r="JA16" i="17" s="1"/>
  <c r="BP18" i="6"/>
  <c r="JA17" i="17" s="1"/>
  <c r="BP19" i="6"/>
  <c r="JA18" i="17" s="1"/>
  <c r="BP20" i="6"/>
  <c r="JA19" i="17" s="1"/>
  <c r="BP21" i="6"/>
  <c r="JA20" i="17" s="1"/>
  <c r="BP22" i="6"/>
  <c r="JA21" i="17" s="1"/>
  <c r="BP23" i="6"/>
  <c r="JA22" i="17" s="1"/>
  <c r="BP24" i="6"/>
  <c r="JA23" i="17" s="1"/>
  <c r="BP25" i="6"/>
  <c r="JA24" i="17" s="1"/>
  <c r="BP26" i="6"/>
  <c r="JA25" i="17" s="1"/>
  <c r="BP27" i="6"/>
  <c r="JA26" i="17" s="1"/>
  <c r="BP28" i="6"/>
  <c r="JA27" i="17" s="1"/>
  <c r="BP11" i="6"/>
  <c r="JA10" i="17" s="1"/>
  <c r="IJ33" i="2"/>
  <c r="DU33" i="2"/>
  <c r="AJ33" i="2" s="1"/>
  <c r="IJ32" i="2"/>
  <c r="DU32" i="2"/>
  <c r="BH13" i="2"/>
  <c r="BI13" i="2"/>
  <c r="BJ13" i="2"/>
  <c r="DU13" i="2"/>
  <c r="IJ13" i="2"/>
  <c r="BH14" i="2"/>
  <c r="BI14" i="2"/>
  <c r="BJ14" i="2"/>
  <c r="DD14" i="2"/>
  <c r="DU14" i="2"/>
  <c r="IJ14" i="2"/>
  <c r="BH15" i="2"/>
  <c r="BI15" i="2"/>
  <c r="BJ15" i="2"/>
  <c r="DD15" i="2"/>
  <c r="DU15" i="2"/>
  <c r="IJ15" i="2"/>
  <c r="BH16" i="2"/>
  <c r="BI16" i="2"/>
  <c r="BJ16" i="2"/>
  <c r="DD16" i="2"/>
  <c r="DU16" i="2"/>
  <c r="IJ16" i="2"/>
  <c r="BH17" i="2"/>
  <c r="BI17" i="2"/>
  <c r="BJ17" i="2"/>
  <c r="CL17" i="2"/>
  <c r="DD17" i="2"/>
  <c r="DU17" i="2"/>
  <c r="IJ17" i="2"/>
  <c r="BH18" i="2"/>
  <c r="BI18" i="2"/>
  <c r="BJ18" i="2"/>
  <c r="DD18" i="2"/>
  <c r="DU18" i="2"/>
  <c r="IJ18" i="2"/>
  <c r="BH19" i="2"/>
  <c r="BI19" i="2"/>
  <c r="BJ19" i="2"/>
  <c r="DD19" i="2"/>
  <c r="DU19" i="2"/>
  <c r="IJ19" i="2"/>
  <c r="BH20" i="2"/>
  <c r="BI20" i="2"/>
  <c r="BJ20" i="2"/>
  <c r="DD20" i="2"/>
  <c r="DU20" i="2"/>
  <c r="IJ20" i="2"/>
  <c r="BH21" i="2"/>
  <c r="BI21" i="2"/>
  <c r="BJ21" i="2"/>
  <c r="DD21" i="2"/>
  <c r="DU21" i="2"/>
  <c r="IJ21" i="2"/>
  <c r="BH22" i="2"/>
  <c r="BI22" i="2"/>
  <c r="BJ22" i="2"/>
  <c r="DD22" i="2"/>
  <c r="DU22" i="2"/>
  <c r="IJ22" i="2"/>
  <c r="BH23" i="2"/>
  <c r="BI23" i="2"/>
  <c r="BJ23" i="2"/>
  <c r="DD23" i="2"/>
  <c r="DU23" i="2"/>
  <c r="IJ23" i="2"/>
  <c r="BH24" i="2"/>
  <c r="BI24" i="2"/>
  <c r="BJ24" i="2"/>
  <c r="CL24" i="2"/>
  <c r="DD24" i="2"/>
  <c r="DU24" i="2"/>
  <c r="IJ24" i="2"/>
  <c r="BH25" i="2"/>
  <c r="BI25" i="2"/>
  <c r="BJ25" i="2"/>
  <c r="CL25" i="2"/>
  <c r="DD25" i="2"/>
  <c r="DU25" i="2"/>
  <c r="IJ25" i="2"/>
  <c r="BH26" i="2"/>
  <c r="BI26" i="2"/>
  <c r="BJ26" i="2"/>
  <c r="CL26" i="2"/>
  <c r="DD26" i="2"/>
  <c r="DU26" i="2"/>
  <c r="IJ26" i="2"/>
  <c r="BH27" i="2"/>
  <c r="BI27" i="2"/>
  <c r="BJ27" i="2"/>
  <c r="CL27" i="2"/>
  <c r="DD27" i="2"/>
  <c r="DU27" i="2"/>
  <c r="IJ27" i="2"/>
  <c r="BH28" i="2"/>
  <c r="BI28" i="2"/>
  <c r="BJ28" i="2"/>
  <c r="CL28" i="2"/>
  <c r="DD28" i="2"/>
  <c r="DU28" i="2"/>
  <c r="IJ28" i="2"/>
  <c r="BH29" i="2"/>
  <c r="BI29" i="2"/>
  <c r="BJ29" i="2"/>
  <c r="DD29" i="2"/>
  <c r="DU29" i="2"/>
  <c r="IJ29" i="2"/>
  <c r="BS8" i="4"/>
  <c r="AI8" i="4"/>
  <c r="AC8" i="4"/>
  <c r="AJ32" i="2" l="1"/>
  <c r="H13" i="17"/>
  <c r="H24" i="17"/>
  <c r="H20" i="17"/>
  <c r="H16" i="17"/>
  <c r="H12" i="17"/>
  <c r="H25" i="17"/>
  <c r="H26" i="17"/>
  <c r="H22" i="17"/>
  <c r="H18" i="17"/>
  <c r="H14" i="17"/>
  <c r="H21" i="17"/>
  <c r="H23" i="17"/>
  <c r="H19" i="17"/>
  <c r="H15" i="17"/>
  <c r="JB30" i="17"/>
  <c r="JB32" i="17" s="1"/>
  <c r="JB35" i="17" s="1"/>
  <c r="JA32" i="17"/>
  <c r="JA28" i="17"/>
  <c r="BG29" i="2"/>
  <c r="BG27" i="2"/>
  <c r="BG25" i="2"/>
  <c r="BG22" i="2"/>
  <c r="BG18" i="2"/>
  <c r="BG15" i="2"/>
  <c r="BG23" i="2"/>
  <c r="BG19" i="2"/>
  <c r="BG16" i="2"/>
  <c r="BG28" i="2"/>
  <c r="BG26" i="2"/>
  <c r="BG24" i="2"/>
  <c r="BG20" i="2"/>
  <c r="BG17" i="2"/>
  <c r="BG21" i="2"/>
  <c r="BG14" i="2"/>
  <c r="BG13" i="2"/>
  <c r="CJ28" i="2"/>
  <c r="CJ27" i="2"/>
  <c r="CJ26" i="2"/>
  <c r="CJ25" i="2"/>
  <c r="CJ24" i="2"/>
  <c r="CJ17" i="2"/>
  <c r="CL20" i="2"/>
  <c r="CL16" i="2"/>
  <c r="CL29" i="2"/>
  <c r="CL21" i="2"/>
  <c r="CL22" i="2"/>
  <c r="CL18" i="2"/>
  <c r="CL14" i="2"/>
  <c r="CL13" i="2"/>
  <c r="CL23" i="2"/>
  <c r="CL19" i="2"/>
  <c r="CL15" i="2"/>
  <c r="RH34" i="2"/>
  <c r="RH30" i="2"/>
  <c r="SH45" i="2"/>
  <c r="SH34" i="2"/>
  <c r="SH44" i="2" s="1"/>
  <c r="JI37" i="2"/>
  <c r="IR37" i="2"/>
  <c r="CE8" i="4"/>
  <c r="JH34" i="2"/>
  <c r="JB21" i="2"/>
  <c r="JB25" i="2"/>
  <c r="JD34" i="2"/>
  <c r="IP34" i="2"/>
  <c r="IP55" i="2" s="1"/>
  <c r="JJ37" i="2"/>
  <c r="IV34" i="2"/>
  <c r="IQ37" i="2"/>
  <c r="JH30" i="2"/>
  <c r="IP30" i="2"/>
  <c r="JB17" i="2"/>
  <c r="JB28" i="2"/>
  <c r="JB24" i="2"/>
  <c r="JB16" i="2"/>
  <c r="JB12" i="2"/>
  <c r="JC34" i="2"/>
  <c r="JB14" i="2"/>
  <c r="JB26" i="2"/>
  <c r="JB22" i="2"/>
  <c r="JB18" i="2"/>
  <c r="JB20" i="2"/>
  <c r="JB27" i="2"/>
  <c r="JB23" i="2"/>
  <c r="JB15" i="2"/>
  <c r="BF8" i="4"/>
  <c r="AH8" i="4"/>
  <c r="AB8" i="4"/>
  <c r="BD18" i="2"/>
  <c r="BE17" i="2"/>
  <c r="JE24" i="2"/>
  <c r="JE23" i="2"/>
  <c r="IM23" i="2"/>
  <c r="IS21" i="2"/>
  <c r="JA18" i="2"/>
  <c r="FK16" i="17" s="1"/>
  <c r="BR8" i="4"/>
  <c r="BD29" i="2"/>
  <c r="BE28" i="2"/>
  <c r="BF27" i="2"/>
  <c r="BF23" i="2"/>
  <c r="BD21" i="2"/>
  <c r="BE20" i="2"/>
  <c r="BF19" i="2"/>
  <c r="BD17" i="2"/>
  <c r="BE16" i="2"/>
  <c r="BF15" i="2"/>
  <c r="IM17" i="2"/>
  <c r="BE14" i="2"/>
  <c r="JF34" i="2"/>
  <c r="JE28" i="2"/>
  <c r="JE29" i="2"/>
  <c r="IM29" i="2"/>
  <c r="IS27" i="2"/>
  <c r="JA24" i="2"/>
  <c r="FK22" i="17" s="1"/>
  <c r="JE21" i="2"/>
  <c r="IM21" i="2"/>
  <c r="JE27" i="2"/>
  <c r="IM27" i="2"/>
  <c r="IS25" i="2"/>
  <c r="IM18" i="2"/>
  <c r="IZ17" i="2"/>
  <c r="IS16" i="2"/>
  <c r="IO34" i="2"/>
  <c r="DC18" i="2"/>
  <c r="IG13" i="2"/>
  <c r="JA25" i="2"/>
  <c r="FK23" i="17" s="1"/>
  <c r="JF30" i="2"/>
  <c r="DC21" i="2"/>
  <c r="IZ28" i="2"/>
  <c r="JE25" i="2"/>
  <c r="IM25" i="2"/>
  <c r="IS23" i="2"/>
  <c r="JA20" i="2"/>
  <c r="FK18" i="17" s="1"/>
  <c r="JE18" i="2"/>
  <c r="JA17" i="2"/>
  <c r="FK15" i="17" s="1"/>
  <c r="JA15" i="2"/>
  <c r="FK13" i="17" s="1"/>
  <c r="JE14" i="2"/>
  <c r="IM13" i="2"/>
  <c r="JA12" i="2"/>
  <c r="FK10" i="17" s="1"/>
  <c r="IG14" i="2"/>
  <c r="JA23" i="2"/>
  <c r="FK21" i="17" s="1"/>
  <c r="JG34" i="2"/>
  <c r="JA21" i="2"/>
  <c r="FK19" i="17" s="1"/>
  <c r="IG17" i="2"/>
  <c r="IO30" i="2"/>
  <c r="DC25" i="2"/>
  <c r="IG18" i="2"/>
  <c r="DC16" i="2"/>
  <c r="BF16" i="2"/>
  <c r="JA27" i="2"/>
  <c r="FK25" i="17" s="1"/>
  <c r="IZ26" i="2"/>
  <c r="JE22" i="2"/>
  <c r="JA16" i="2"/>
  <c r="FK14" i="17" s="1"/>
  <c r="IM16" i="2"/>
  <c r="IS15" i="2"/>
  <c r="BF18" i="2"/>
  <c r="BE29" i="2"/>
  <c r="BF28" i="2"/>
  <c r="IG27" i="2"/>
  <c r="BD26" i="2"/>
  <c r="BE25" i="2"/>
  <c r="BF24" i="2"/>
  <c r="IG23" i="2"/>
  <c r="BD22" i="2"/>
  <c r="BE21" i="2"/>
  <c r="BF20" i="2"/>
  <c r="IG19" i="2"/>
  <c r="BE18" i="2"/>
  <c r="BD15" i="2"/>
  <c r="IM33" i="2"/>
  <c r="IM32" i="2"/>
  <c r="JA28" i="2"/>
  <c r="FK26" i="17" s="1"/>
  <c r="JA26" i="2"/>
  <c r="FK24" i="17" s="1"/>
  <c r="IZ24" i="2"/>
  <c r="IZ20" i="2"/>
  <c r="JE19" i="2"/>
  <c r="IM15" i="2"/>
  <c r="JA14" i="2"/>
  <c r="FK12" i="17" s="1"/>
  <c r="IM14" i="2"/>
  <c r="BE22" i="2"/>
  <c r="BF21" i="2"/>
  <c r="IG20" i="2"/>
  <c r="BD13" i="2"/>
  <c r="IG32" i="2"/>
  <c r="IM28" i="2"/>
  <c r="IM26" i="2"/>
  <c r="IM24" i="2"/>
  <c r="IM22" i="2"/>
  <c r="IM20" i="2"/>
  <c r="IM19" i="2"/>
  <c r="JE17" i="2"/>
  <c r="JE16" i="2"/>
  <c r="IZ15" i="2"/>
  <c r="IS14" i="2"/>
  <c r="IM12" i="2"/>
  <c r="IG26" i="2"/>
  <c r="BD25" i="2"/>
  <c r="IG15" i="2"/>
  <c r="IT34" i="2"/>
  <c r="IZ27" i="2"/>
  <c r="JE26" i="2"/>
  <c r="IZ25" i="2"/>
  <c r="IZ23" i="2"/>
  <c r="IZ21" i="2"/>
  <c r="JE20" i="2"/>
  <c r="IS18" i="2"/>
  <c r="IS17" i="2"/>
  <c r="JE13" i="2"/>
  <c r="JE12" i="2"/>
  <c r="DC28" i="2"/>
  <c r="DC24" i="2"/>
  <c r="DC20" i="2"/>
  <c r="DC17" i="2"/>
  <c r="DC15" i="2"/>
  <c r="IU34" i="2"/>
  <c r="IN30" i="2"/>
  <c r="IS28" i="2"/>
  <c r="IS26" i="2"/>
  <c r="IS24" i="2"/>
  <c r="IS20" i="2"/>
  <c r="JE15" i="2"/>
  <c r="IS12" i="2"/>
  <c r="BF29" i="2"/>
  <c r="IG28" i="2"/>
  <c r="DC26" i="2"/>
  <c r="BD23" i="2"/>
  <c r="BD20" i="2"/>
  <c r="JG30" i="2"/>
  <c r="BD28" i="2"/>
  <c r="BF26" i="2"/>
  <c r="IG22" i="2"/>
  <c r="DM20" i="2"/>
  <c r="BF14" i="2"/>
  <c r="IN34" i="2"/>
  <c r="IZ18" i="2"/>
  <c r="IZ16" i="2"/>
  <c r="IZ14" i="2"/>
  <c r="IZ12" i="2"/>
  <c r="DC19" i="2"/>
  <c r="BD19" i="2"/>
  <c r="IG16" i="2"/>
  <c r="DM32" i="2"/>
  <c r="DC29" i="2"/>
  <c r="BD16" i="2"/>
  <c r="DM27" i="2"/>
  <c r="DM26" i="2"/>
  <c r="BE26" i="2"/>
  <c r="IG25" i="2"/>
  <c r="BF25" i="2"/>
  <c r="IG24" i="2"/>
  <c r="BE24" i="2"/>
  <c r="BF22" i="2"/>
  <c r="IG21" i="2"/>
  <c r="DM18" i="2"/>
  <c r="BF17" i="2"/>
  <c r="DM14" i="2"/>
  <c r="BF13" i="2"/>
  <c r="BE13" i="2"/>
  <c r="IG33" i="2"/>
  <c r="IG29" i="2"/>
  <c r="DM24" i="2"/>
  <c r="DM21" i="2"/>
  <c r="DM28" i="2"/>
  <c r="BD27" i="2"/>
  <c r="DM25" i="2"/>
  <c r="BE23" i="2"/>
  <c r="DM17" i="2"/>
  <c r="DM16" i="2"/>
  <c r="DM13" i="2"/>
  <c r="DM33" i="2"/>
  <c r="DM29" i="2"/>
  <c r="BE27" i="2"/>
  <c r="DM23" i="2"/>
  <c r="DC23" i="2"/>
  <c r="DM22" i="2"/>
  <c r="DM19" i="2"/>
  <c r="BE19" i="2"/>
  <c r="DM15" i="2"/>
  <c r="BE15" i="2"/>
  <c r="BD14" i="2"/>
  <c r="CD8" i="4"/>
  <c r="AL33" i="6" l="1"/>
  <c r="JA35" i="17"/>
  <c r="JA36" i="17" s="1"/>
  <c r="BC20" i="2"/>
  <c r="BC16" i="2"/>
  <c r="BC28" i="2"/>
  <c r="BC14" i="2"/>
  <c r="BC27" i="2"/>
  <c r="BC13" i="2"/>
  <c r="BC26" i="2"/>
  <c r="BC19" i="2"/>
  <c r="BC23" i="2"/>
  <c r="BC15" i="2"/>
  <c r="BC21" i="2"/>
  <c r="BC29" i="2"/>
  <c r="BC25" i="2"/>
  <c r="BC18" i="2"/>
  <c r="BC22" i="2"/>
  <c r="BC17" i="2"/>
  <c r="CJ19" i="2"/>
  <c r="CJ23" i="2"/>
  <c r="CJ22" i="2"/>
  <c r="CJ20" i="2"/>
  <c r="CJ15" i="2"/>
  <c r="CJ14" i="2"/>
  <c r="CJ29" i="2"/>
  <c r="CJ18" i="2"/>
  <c r="CJ16" i="2"/>
  <c r="CJ13" i="2"/>
  <c r="CJ21" i="2"/>
  <c r="CK19" i="2"/>
  <c r="CK23" i="2"/>
  <c r="CK20" i="2"/>
  <c r="CK15" i="2"/>
  <c r="CK21" i="2"/>
  <c r="CK24" i="2"/>
  <c r="CK17" i="2"/>
  <c r="CK18" i="2"/>
  <c r="CK26" i="2"/>
  <c r="CK13" i="2"/>
  <c r="CK28" i="2"/>
  <c r="CK25" i="2"/>
  <c r="CK16" i="2"/>
  <c r="CK29" i="2"/>
  <c r="RD34" i="2"/>
  <c r="RD44" i="2" s="1"/>
  <c r="RE34" i="2"/>
  <c r="RH37" i="2"/>
  <c r="RE30" i="2"/>
  <c r="RD30" i="2"/>
  <c r="JH37" i="2"/>
  <c r="IP60" i="2" s="1"/>
  <c r="SH37" i="2"/>
  <c r="SH38" i="2" s="1"/>
  <c r="IP37" i="2"/>
  <c r="JB34" i="2"/>
  <c r="IP54" i="2"/>
  <c r="IY24" i="2"/>
  <c r="IY17" i="2"/>
  <c r="IM34" i="2"/>
  <c r="IM55" i="2" s="1"/>
  <c r="IY26" i="2"/>
  <c r="IN37" i="2"/>
  <c r="IY25" i="2"/>
  <c r="IY14" i="2"/>
  <c r="IY15" i="2"/>
  <c r="JA34" i="2"/>
  <c r="IO37" i="2"/>
  <c r="JF37" i="2"/>
  <c r="IY28" i="2"/>
  <c r="IY18" i="2"/>
  <c r="IY20" i="2"/>
  <c r="JG37" i="2"/>
  <c r="IY16" i="2"/>
  <c r="IY23" i="2"/>
  <c r="JE34" i="2"/>
  <c r="IY27" i="2"/>
  <c r="IY21" i="2"/>
  <c r="JE30" i="2"/>
  <c r="IM30" i="2"/>
  <c r="IS34" i="2"/>
  <c r="IY12" i="2"/>
  <c r="IZ34" i="2"/>
  <c r="AJ33" i="6" l="1"/>
  <c r="RE37" i="2"/>
  <c r="CI17" i="2"/>
  <c r="CI15" i="2"/>
  <c r="CI13" i="2"/>
  <c r="CI21" i="2"/>
  <c r="CI16" i="2"/>
  <c r="CI19" i="2"/>
  <c r="CI29" i="2"/>
  <c r="CI23" i="2"/>
  <c r="CI28" i="2"/>
  <c r="CI24" i="2"/>
  <c r="CI20" i="2"/>
  <c r="CI18" i="2"/>
  <c r="CI25" i="2"/>
  <c r="CI26" i="2"/>
  <c r="RD45" i="2"/>
  <c r="RD37" i="2"/>
  <c r="RD38" i="2" s="1"/>
  <c r="SG45" i="2"/>
  <c r="IY34" i="2"/>
  <c r="IM37" i="2"/>
  <c r="JE37" i="2"/>
  <c r="IM60" i="2" s="1"/>
  <c r="IM54" i="2"/>
  <c r="RD49" i="2" l="1"/>
  <c r="RD39" i="2"/>
  <c r="D233" i="8" l="1"/>
  <c r="DU12" i="2"/>
  <c r="DV34" i="2"/>
  <c r="DV30" i="2"/>
  <c r="M30" i="3"/>
  <c r="M26" i="3"/>
  <c r="E32" i="5"/>
  <c r="E31" i="5"/>
  <c r="E28" i="5"/>
  <c r="J209" i="8"/>
  <c r="J95" i="8"/>
  <c r="H9" i="11"/>
  <c r="I9" i="11"/>
  <c r="H13" i="11"/>
  <c r="I13" i="11"/>
  <c r="H11" i="8"/>
  <c r="I11" i="8"/>
  <c r="G12" i="8"/>
  <c r="I12" i="8" s="1"/>
  <c r="H12" i="8"/>
  <c r="D13" i="8"/>
  <c r="E13" i="8"/>
  <c r="F13" i="8"/>
  <c r="G14" i="8"/>
  <c r="I14" i="8" s="1"/>
  <c r="H14" i="8"/>
  <c r="D16" i="8"/>
  <c r="D25" i="8"/>
  <c r="D37" i="8"/>
  <c r="H39" i="8"/>
  <c r="I39" i="8"/>
  <c r="H44" i="8"/>
  <c r="I44" i="8"/>
  <c r="D46" i="8"/>
  <c r="D41" i="8" s="1"/>
  <c r="H56" i="8"/>
  <c r="I56" i="8"/>
  <c r="H58" i="8"/>
  <c r="I58" i="8"/>
  <c r="D59" i="8"/>
  <c r="C17" i="16" s="1"/>
  <c r="D61" i="8"/>
  <c r="D54" i="8" s="1"/>
  <c r="H69" i="8"/>
  <c r="I69" i="8"/>
  <c r="H73" i="8"/>
  <c r="I73" i="8"/>
  <c r="D75" i="8"/>
  <c r="G96" i="8"/>
  <c r="H96" i="8"/>
  <c r="D97" i="8"/>
  <c r="G99" i="8"/>
  <c r="I99" i="8" s="1"/>
  <c r="H99" i="8"/>
  <c r="D100" i="8"/>
  <c r="G84" i="8"/>
  <c r="I84" i="8" s="1"/>
  <c r="H84" i="8"/>
  <c r="D85" i="8"/>
  <c r="C14" i="16" s="1"/>
  <c r="J86" i="8"/>
  <c r="D90" i="8"/>
  <c r="D93" i="8"/>
  <c r="D105" i="8"/>
  <c r="H107" i="8"/>
  <c r="I107" i="8"/>
  <c r="H112" i="8"/>
  <c r="I112" i="8"/>
  <c r="G118" i="8"/>
  <c r="H118" i="8"/>
  <c r="D119" i="8"/>
  <c r="C12" i="16" s="1"/>
  <c r="G121" i="8"/>
  <c r="I121" i="8" s="1"/>
  <c r="H121" i="8"/>
  <c r="D122" i="8"/>
  <c r="C13" i="16" s="1"/>
  <c r="I129" i="8"/>
  <c r="H134" i="8"/>
  <c r="I134" i="8"/>
  <c r="J148" i="8"/>
  <c r="G149" i="8"/>
  <c r="H149" i="8"/>
  <c r="G152" i="8"/>
  <c r="I152" i="8" s="1"/>
  <c r="H152" i="8"/>
  <c r="G146" i="8"/>
  <c r="I146" i="8" s="1"/>
  <c r="H146" i="8"/>
  <c r="D147" i="8"/>
  <c r="I154" i="8"/>
  <c r="H159" i="8"/>
  <c r="I159" i="8"/>
  <c r="J164" i="8"/>
  <c r="G174" i="8"/>
  <c r="H174" i="8"/>
  <c r="H187" i="8"/>
  <c r="I187" i="8"/>
  <c r="D184" i="8"/>
  <c r="H203" i="8"/>
  <c r="H205" i="8"/>
  <c r="I205" i="8"/>
  <c r="D210" i="8"/>
  <c r="G211" i="8"/>
  <c r="I211" i="8" s="1"/>
  <c r="H211" i="8"/>
  <c r="D213" i="8"/>
  <c r="G214" i="8"/>
  <c r="I214" i="8" s="1"/>
  <c r="H214" i="8"/>
  <c r="D207" i="8"/>
  <c r="G208" i="8"/>
  <c r="I208" i="8" s="1"/>
  <c r="H208" i="8"/>
  <c r="G223" i="8"/>
  <c r="H223" i="8"/>
  <c r="D224" i="8"/>
  <c r="E224" i="8"/>
  <c r="F224" i="8"/>
  <c r="G225" i="8"/>
  <c r="H225" i="8"/>
  <c r="H226" i="8"/>
  <c r="I226" i="8"/>
  <c r="H231" i="8"/>
  <c r="I231" i="8"/>
  <c r="D242" i="8"/>
  <c r="J250" i="8"/>
  <c r="D251" i="8"/>
  <c r="D254" i="8"/>
  <c r="I273" i="8"/>
  <c r="H273" i="8"/>
  <c r="I277" i="8"/>
  <c r="H277" i="8"/>
  <c r="G292" i="8"/>
  <c r="H292" i="8"/>
  <c r="H293" i="8"/>
  <c r="I293" i="8"/>
  <c r="H298" i="8"/>
  <c r="I298" i="8"/>
  <c r="G307" i="8"/>
  <c r="G294" i="8" s="1"/>
  <c r="H307" i="8"/>
  <c r="H310" i="8"/>
  <c r="I310" i="8"/>
  <c r="H314" i="8"/>
  <c r="I314" i="8"/>
  <c r="D316" i="8"/>
  <c r="D312" i="8" s="1"/>
  <c r="H324" i="8"/>
  <c r="I324" i="8"/>
  <c r="H328" i="8"/>
  <c r="I328" i="8"/>
  <c r="D330" i="8"/>
  <c r="D363" i="8"/>
  <c r="H333" i="8"/>
  <c r="I333" i="8"/>
  <c r="D334" i="8"/>
  <c r="D339" i="8"/>
  <c r="J338" i="8"/>
  <c r="D348" i="8"/>
  <c r="J350" i="8"/>
  <c r="D354" i="8"/>
  <c r="G365" i="8"/>
  <c r="I365" i="8" s="1"/>
  <c r="H365" i="8"/>
  <c r="D366" i="8"/>
  <c r="E366" i="8"/>
  <c r="F366" i="8"/>
  <c r="G367" i="8"/>
  <c r="I367" i="8" s="1"/>
  <c r="H367" i="8"/>
  <c r="I368" i="8"/>
  <c r="H382" i="8"/>
  <c r="I382" i="8"/>
  <c r="G383" i="8"/>
  <c r="G384" i="8" s="1"/>
  <c r="G380" i="8" s="1"/>
  <c r="H383" i="8"/>
  <c r="H384" i="8"/>
  <c r="D381" i="8"/>
  <c r="E381" i="8"/>
  <c r="F381" i="8"/>
  <c r="I386" i="8"/>
  <c r="H390" i="8"/>
  <c r="I390" i="8"/>
  <c r="D392" i="8"/>
  <c r="D388" i="8" s="1"/>
  <c r="J406" i="8"/>
  <c r="H407" i="8"/>
  <c r="H410" i="8"/>
  <c r="H439" i="8"/>
  <c r="I439" i="8"/>
  <c r="G440" i="8"/>
  <c r="I440" i="8" s="1"/>
  <c r="H440" i="8"/>
  <c r="D441" i="8"/>
  <c r="E441" i="8"/>
  <c r="F441" i="8"/>
  <c r="G442" i="8"/>
  <c r="I442" i="8" s="1"/>
  <c r="H442" i="8"/>
  <c r="H452" i="8"/>
  <c r="I452" i="8"/>
  <c r="D13" i="9"/>
  <c r="C15" i="9"/>
  <c r="BC11" i="6"/>
  <c r="HI10" i="17" s="1"/>
  <c r="I11" i="6"/>
  <c r="AG10" i="17" s="1"/>
  <c r="O11" i="6"/>
  <c r="Q11" i="6"/>
  <c r="BM10" i="17" s="1"/>
  <c r="BN10" i="17" s="1"/>
  <c r="AQ11" i="6"/>
  <c r="FM10" i="17" s="1"/>
  <c r="AU11" i="6"/>
  <c r="GC10" i="17" s="1"/>
  <c r="AY11" i="6"/>
  <c r="GS10" i="17" s="1"/>
  <c r="GT10" i="17" s="1"/>
  <c r="BE11" i="6"/>
  <c r="HQ10" i="17" s="1"/>
  <c r="BG11" i="6"/>
  <c r="HY10" i="17" s="1"/>
  <c r="BU11" i="6"/>
  <c r="BW11" i="6"/>
  <c r="BY11" i="6"/>
  <c r="CA11" i="6"/>
  <c r="CC11" i="6"/>
  <c r="CG11" i="6"/>
  <c r="BC12" i="6"/>
  <c r="HI11" i="17" s="1"/>
  <c r="I12" i="6"/>
  <c r="AG11" i="17" s="1"/>
  <c r="O12" i="6"/>
  <c r="Q12" i="6"/>
  <c r="BM11" i="17" s="1"/>
  <c r="BN11" i="17" s="1"/>
  <c r="AU12" i="6"/>
  <c r="GC11" i="17" s="1"/>
  <c r="AY12" i="6"/>
  <c r="GS11" i="17" s="1"/>
  <c r="GT11" i="17" s="1"/>
  <c r="BE12" i="6"/>
  <c r="HQ11" i="17" s="1"/>
  <c r="BG12" i="6"/>
  <c r="HY11" i="17" s="1"/>
  <c r="BU12" i="6"/>
  <c r="BW12" i="6"/>
  <c r="BY12" i="6"/>
  <c r="CA12" i="6"/>
  <c r="CC12" i="6"/>
  <c r="CG12" i="6"/>
  <c r="BC13" i="6"/>
  <c r="HI12" i="17" s="1"/>
  <c r="I13" i="6"/>
  <c r="AG12" i="17" s="1"/>
  <c r="O13" i="6"/>
  <c r="Q13" i="6"/>
  <c r="BM12" i="17" s="1"/>
  <c r="BN12" i="17" s="1"/>
  <c r="AQ13" i="6"/>
  <c r="FM12" i="17" s="1"/>
  <c r="AU13" i="6"/>
  <c r="GC12" i="17" s="1"/>
  <c r="AY13" i="6"/>
  <c r="GS12" i="17" s="1"/>
  <c r="GT12" i="17" s="1"/>
  <c r="BE13" i="6"/>
  <c r="HQ12" i="17" s="1"/>
  <c r="BG13" i="6"/>
  <c r="HY12" i="17" s="1"/>
  <c r="BU13" i="6"/>
  <c r="BW13" i="6"/>
  <c r="BY13" i="6"/>
  <c r="CA13" i="6"/>
  <c r="CC13" i="6"/>
  <c r="CG13" i="6"/>
  <c r="BC14" i="6"/>
  <c r="HI13" i="17" s="1"/>
  <c r="I14" i="6"/>
  <c r="AG13" i="17" s="1"/>
  <c r="O14" i="6"/>
  <c r="Q14" i="6"/>
  <c r="BM13" i="17" s="1"/>
  <c r="BN13" i="17" s="1"/>
  <c r="AQ14" i="6"/>
  <c r="FM13" i="17" s="1"/>
  <c r="AU14" i="6"/>
  <c r="GC13" i="17" s="1"/>
  <c r="AY14" i="6"/>
  <c r="GS13" i="17" s="1"/>
  <c r="GT13" i="17" s="1"/>
  <c r="BE14" i="6"/>
  <c r="HQ13" i="17" s="1"/>
  <c r="BG14" i="6"/>
  <c r="HY13" i="17" s="1"/>
  <c r="BU14" i="6"/>
  <c r="BW14" i="6"/>
  <c r="BY14" i="6"/>
  <c r="CA14" i="6"/>
  <c r="CC14" i="6"/>
  <c r="CG14" i="6"/>
  <c r="BC15" i="6"/>
  <c r="HI14" i="17" s="1"/>
  <c r="I15" i="6"/>
  <c r="AG14" i="17" s="1"/>
  <c r="O15" i="6"/>
  <c r="Q15" i="6"/>
  <c r="BM14" i="17" s="1"/>
  <c r="BN14" i="17" s="1"/>
  <c r="AQ15" i="6"/>
  <c r="FM14" i="17" s="1"/>
  <c r="AU15" i="6"/>
  <c r="GC14" i="17" s="1"/>
  <c r="AY15" i="6"/>
  <c r="GS14" i="17" s="1"/>
  <c r="GT14" i="17" s="1"/>
  <c r="BE15" i="6"/>
  <c r="HQ14" i="17" s="1"/>
  <c r="BG15" i="6"/>
  <c r="HY14" i="17" s="1"/>
  <c r="BU15" i="6"/>
  <c r="BW15" i="6"/>
  <c r="BY15" i="6"/>
  <c r="CA15" i="6"/>
  <c r="CC15" i="6"/>
  <c r="CG15" i="6"/>
  <c r="BC16" i="6"/>
  <c r="HI15" i="17" s="1"/>
  <c r="I16" i="6"/>
  <c r="AG15" i="17" s="1"/>
  <c r="O16" i="6"/>
  <c r="Q16" i="6"/>
  <c r="BM15" i="17" s="1"/>
  <c r="BN15" i="17" s="1"/>
  <c r="AQ16" i="6"/>
  <c r="FM15" i="17" s="1"/>
  <c r="AU16" i="6"/>
  <c r="GC15" i="17" s="1"/>
  <c r="AY16" i="6"/>
  <c r="GS15" i="17" s="1"/>
  <c r="GT15" i="17" s="1"/>
  <c r="BE16" i="6"/>
  <c r="HQ15" i="17" s="1"/>
  <c r="BG16" i="6"/>
  <c r="HY15" i="17" s="1"/>
  <c r="BU16" i="6"/>
  <c r="BW16" i="6"/>
  <c r="BY16" i="6"/>
  <c r="CA16" i="6"/>
  <c r="CC16" i="6"/>
  <c r="CG16" i="6"/>
  <c r="BC17" i="6"/>
  <c r="HI16" i="17" s="1"/>
  <c r="I17" i="6"/>
  <c r="AG16" i="17" s="1"/>
  <c r="O17" i="6"/>
  <c r="Q17" i="6"/>
  <c r="BM16" i="17" s="1"/>
  <c r="BN16" i="17" s="1"/>
  <c r="AQ17" i="6"/>
  <c r="FM16" i="17" s="1"/>
  <c r="AU17" i="6"/>
  <c r="GC16" i="17" s="1"/>
  <c r="AY17" i="6"/>
  <c r="GS16" i="17" s="1"/>
  <c r="GT16" i="17" s="1"/>
  <c r="BE17" i="6"/>
  <c r="HQ16" i="17" s="1"/>
  <c r="BG17" i="6"/>
  <c r="HY16" i="17" s="1"/>
  <c r="BU17" i="6"/>
  <c r="BW17" i="6"/>
  <c r="BY17" i="6"/>
  <c r="CA17" i="6"/>
  <c r="CC17" i="6"/>
  <c r="CG17" i="6"/>
  <c r="BC18" i="6"/>
  <c r="HI17" i="17" s="1"/>
  <c r="I18" i="6"/>
  <c r="AG17" i="17" s="1"/>
  <c r="O18" i="6"/>
  <c r="Q18" i="6"/>
  <c r="BM17" i="17" s="1"/>
  <c r="BN17" i="17" s="1"/>
  <c r="AU18" i="6"/>
  <c r="GC17" i="17" s="1"/>
  <c r="AY18" i="6"/>
  <c r="GS17" i="17" s="1"/>
  <c r="GT17" i="17" s="1"/>
  <c r="BE18" i="6"/>
  <c r="HQ17" i="17" s="1"/>
  <c r="BG18" i="6"/>
  <c r="HY17" i="17" s="1"/>
  <c r="BU18" i="6"/>
  <c r="BW18" i="6"/>
  <c r="BY18" i="6"/>
  <c r="CA18" i="6"/>
  <c r="CC18" i="6"/>
  <c r="CG18" i="6"/>
  <c r="BC19" i="6"/>
  <c r="HI18" i="17" s="1"/>
  <c r="I19" i="6"/>
  <c r="AG18" i="17" s="1"/>
  <c r="O19" i="6"/>
  <c r="Q19" i="6"/>
  <c r="BM18" i="17" s="1"/>
  <c r="BN18" i="17" s="1"/>
  <c r="AQ19" i="6"/>
  <c r="FM18" i="17" s="1"/>
  <c r="AU19" i="6"/>
  <c r="GC18" i="17" s="1"/>
  <c r="AY19" i="6"/>
  <c r="GS18" i="17" s="1"/>
  <c r="GT18" i="17" s="1"/>
  <c r="BE19" i="6"/>
  <c r="HQ18" i="17" s="1"/>
  <c r="BG19" i="6"/>
  <c r="HY18" i="17" s="1"/>
  <c r="BU19" i="6"/>
  <c r="BW19" i="6"/>
  <c r="BY19" i="6"/>
  <c r="CA19" i="6"/>
  <c r="CC19" i="6"/>
  <c r="CG19" i="6"/>
  <c r="BC20" i="6"/>
  <c r="HI19" i="17" s="1"/>
  <c r="I20" i="6"/>
  <c r="AG19" i="17" s="1"/>
  <c r="O20" i="6"/>
  <c r="Q20" i="6"/>
  <c r="BM19" i="17" s="1"/>
  <c r="BN19" i="17" s="1"/>
  <c r="AQ20" i="6"/>
  <c r="FM19" i="17" s="1"/>
  <c r="AU20" i="6"/>
  <c r="GC19" i="17" s="1"/>
  <c r="AY20" i="6"/>
  <c r="GS19" i="17" s="1"/>
  <c r="GT19" i="17" s="1"/>
  <c r="BE20" i="6"/>
  <c r="HQ19" i="17" s="1"/>
  <c r="BG20" i="6"/>
  <c r="HY19" i="17" s="1"/>
  <c r="BU20" i="6"/>
  <c r="BW20" i="6"/>
  <c r="BY20" i="6"/>
  <c r="CA20" i="6"/>
  <c r="CC20" i="6"/>
  <c r="CG20" i="6"/>
  <c r="BC21" i="6"/>
  <c r="HI20" i="17" s="1"/>
  <c r="I21" i="6"/>
  <c r="AG20" i="17" s="1"/>
  <c r="O21" i="6"/>
  <c r="Q21" i="6"/>
  <c r="BM20" i="17" s="1"/>
  <c r="BN20" i="17" s="1"/>
  <c r="AQ21" i="6"/>
  <c r="FM20" i="17" s="1"/>
  <c r="AU21" i="6"/>
  <c r="GC20" i="17" s="1"/>
  <c r="AY21" i="6"/>
  <c r="GS20" i="17" s="1"/>
  <c r="GT20" i="17" s="1"/>
  <c r="BE21" i="6"/>
  <c r="HQ20" i="17" s="1"/>
  <c r="BG21" i="6"/>
  <c r="HY20" i="17" s="1"/>
  <c r="BU21" i="6"/>
  <c r="BW21" i="6"/>
  <c r="BY21" i="6"/>
  <c r="CA21" i="6"/>
  <c r="CC21" i="6"/>
  <c r="CG21" i="6"/>
  <c r="BC22" i="6"/>
  <c r="HI21" i="17" s="1"/>
  <c r="I22" i="6"/>
  <c r="AG21" i="17" s="1"/>
  <c r="O22" i="6"/>
  <c r="Q22" i="6"/>
  <c r="BM21" i="17" s="1"/>
  <c r="BN21" i="17" s="1"/>
  <c r="AQ22" i="6"/>
  <c r="FM21" i="17" s="1"/>
  <c r="AU22" i="6"/>
  <c r="GC21" i="17" s="1"/>
  <c r="AY22" i="6"/>
  <c r="GS21" i="17" s="1"/>
  <c r="GT21" i="17" s="1"/>
  <c r="BE22" i="6"/>
  <c r="HQ21" i="17" s="1"/>
  <c r="BG22" i="6"/>
  <c r="HY21" i="17" s="1"/>
  <c r="BU22" i="6"/>
  <c r="BW22" i="6"/>
  <c r="BY22" i="6"/>
  <c r="CA22" i="6"/>
  <c r="CC22" i="6"/>
  <c r="CG22" i="6"/>
  <c r="BC23" i="6"/>
  <c r="HI22" i="17" s="1"/>
  <c r="I23" i="6"/>
  <c r="AG22" i="17" s="1"/>
  <c r="O23" i="6"/>
  <c r="Q23" i="6"/>
  <c r="BM22" i="17" s="1"/>
  <c r="BN22" i="17" s="1"/>
  <c r="AQ23" i="6"/>
  <c r="FM22" i="17" s="1"/>
  <c r="AU23" i="6"/>
  <c r="GC22" i="17" s="1"/>
  <c r="AY23" i="6"/>
  <c r="GS22" i="17" s="1"/>
  <c r="GT22" i="17" s="1"/>
  <c r="BE23" i="6"/>
  <c r="HQ22" i="17" s="1"/>
  <c r="BG23" i="6"/>
  <c r="HY22" i="17" s="1"/>
  <c r="BU23" i="6"/>
  <c r="BW23" i="6"/>
  <c r="BY23" i="6"/>
  <c r="CA23" i="6"/>
  <c r="CC23" i="6"/>
  <c r="CG23" i="6"/>
  <c r="BC24" i="6"/>
  <c r="HI23" i="17" s="1"/>
  <c r="I24" i="6"/>
  <c r="AG23" i="17" s="1"/>
  <c r="O24" i="6"/>
  <c r="Q24" i="6"/>
  <c r="BM23" i="17" s="1"/>
  <c r="BN23" i="17" s="1"/>
  <c r="AQ24" i="6"/>
  <c r="FM23" i="17" s="1"/>
  <c r="AU24" i="6"/>
  <c r="GC23" i="17" s="1"/>
  <c r="AY24" i="6"/>
  <c r="GS23" i="17" s="1"/>
  <c r="GT23" i="17" s="1"/>
  <c r="BE24" i="6"/>
  <c r="HQ23" i="17" s="1"/>
  <c r="BG24" i="6"/>
  <c r="HY23" i="17" s="1"/>
  <c r="BU24" i="6"/>
  <c r="BW24" i="6"/>
  <c r="BY24" i="6"/>
  <c r="CA24" i="6"/>
  <c r="CC24" i="6"/>
  <c r="CG24" i="6"/>
  <c r="BC25" i="6"/>
  <c r="HI24" i="17" s="1"/>
  <c r="I25" i="6"/>
  <c r="AG24" i="17" s="1"/>
  <c r="O25" i="6"/>
  <c r="Q25" i="6"/>
  <c r="BM24" i="17" s="1"/>
  <c r="BN24" i="17" s="1"/>
  <c r="AQ25" i="6"/>
  <c r="FM24" i="17" s="1"/>
  <c r="AU25" i="6"/>
  <c r="GC24" i="17" s="1"/>
  <c r="AY25" i="6"/>
  <c r="GS24" i="17" s="1"/>
  <c r="GT24" i="17" s="1"/>
  <c r="BE25" i="6"/>
  <c r="HQ24" i="17" s="1"/>
  <c r="BG25" i="6"/>
  <c r="HY24" i="17" s="1"/>
  <c r="BU25" i="6"/>
  <c r="BW25" i="6"/>
  <c r="BY25" i="6"/>
  <c r="CA25" i="6"/>
  <c r="CC25" i="6"/>
  <c r="CG25" i="6"/>
  <c r="BC26" i="6"/>
  <c r="HI25" i="17" s="1"/>
  <c r="I26" i="6"/>
  <c r="AG25" i="17" s="1"/>
  <c r="O26" i="6"/>
  <c r="Q26" i="6"/>
  <c r="BM25" i="17" s="1"/>
  <c r="BN25" i="17" s="1"/>
  <c r="AQ26" i="6"/>
  <c r="FM25" i="17" s="1"/>
  <c r="AU26" i="6"/>
  <c r="GC25" i="17" s="1"/>
  <c r="AY26" i="6"/>
  <c r="GS25" i="17" s="1"/>
  <c r="GT25" i="17" s="1"/>
  <c r="BE26" i="6"/>
  <c r="HQ25" i="17" s="1"/>
  <c r="BG26" i="6"/>
  <c r="HY25" i="17" s="1"/>
  <c r="BU26" i="6"/>
  <c r="BW26" i="6"/>
  <c r="BY26" i="6"/>
  <c r="CA26" i="6"/>
  <c r="CC26" i="6"/>
  <c r="CG26" i="6"/>
  <c r="BC27" i="6"/>
  <c r="HI26" i="17" s="1"/>
  <c r="I27" i="6"/>
  <c r="AG26" i="17" s="1"/>
  <c r="O27" i="6"/>
  <c r="Q27" i="6"/>
  <c r="BM26" i="17" s="1"/>
  <c r="BN26" i="17" s="1"/>
  <c r="AQ27" i="6"/>
  <c r="FM26" i="17" s="1"/>
  <c r="AU27" i="6"/>
  <c r="GC26" i="17" s="1"/>
  <c r="AY27" i="6"/>
  <c r="GS26" i="17" s="1"/>
  <c r="GT26" i="17" s="1"/>
  <c r="BE27" i="6"/>
  <c r="HQ26" i="17" s="1"/>
  <c r="BG27" i="6"/>
  <c r="HY26" i="17" s="1"/>
  <c r="BU27" i="6"/>
  <c r="BW27" i="6"/>
  <c r="BY27" i="6"/>
  <c r="CA27" i="6"/>
  <c r="CC27" i="6"/>
  <c r="CG27" i="6"/>
  <c r="BC28" i="6"/>
  <c r="HI27" i="17" s="1"/>
  <c r="I28" i="6"/>
  <c r="AG27" i="17" s="1"/>
  <c r="O28" i="6"/>
  <c r="Q28" i="6"/>
  <c r="BM27" i="17" s="1"/>
  <c r="BN27" i="17" s="1"/>
  <c r="AU28" i="6"/>
  <c r="GC27" i="17" s="1"/>
  <c r="AY28" i="6"/>
  <c r="GS27" i="17" s="1"/>
  <c r="GT27" i="17" s="1"/>
  <c r="BE28" i="6"/>
  <c r="HQ27" i="17" s="1"/>
  <c r="BG28" i="6"/>
  <c r="HY27" i="17" s="1"/>
  <c r="BU28" i="6"/>
  <c r="BW28" i="6"/>
  <c r="BY28" i="6"/>
  <c r="CA28" i="6"/>
  <c r="CC28" i="6"/>
  <c r="CG28" i="6"/>
  <c r="BC31" i="6"/>
  <c r="HI30" i="17" s="1"/>
  <c r="HJ30" i="17" s="1"/>
  <c r="I31" i="6"/>
  <c r="AG30" i="17" s="1"/>
  <c r="O31" i="6"/>
  <c r="Q31" i="6"/>
  <c r="AQ31" i="6"/>
  <c r="FM30" i="17" s="1"/>
  <c r="FN30" i="17" s="1"/>
  <c r="AU31" i="6"/>
  <c r="GC30" i="17" s="1"/>
  <c r="GD30" i="17" s="1"/>
  <c r="AY31" i="6"/>
  <c r="GS30" i="17" s="1"/>
  <c r="GT30" i="17" s="1"/>
  <c r="BE31" i="6"/>
  <c r="HQ30" i="17" s="1"/>
  <c r="HR30" i="17" s="1"/>
  <c r="BG31" i="6"/>
  <c r="HY30" i="17" s="1"/>
  <c r="BU31" i="6"/>
  <c r="BW31" i="6"/>
  <c r="BY31" i="6"/>
  <c r="CA31" i="6"/>
  <c r="CC31" i="6"/>
  <c r="CG31" i="6"/>
  <c r="BS31" i="6" s="1"/>
  <c r="BC32" i="6"/>
  <c r="HI31" i="17" s="1"/>
  <c r="HJ31" i="17" s="1"/>
  <c r="I32" i="6"/>
  <c r="AG31" i="17" s="1"/>
  <c r="O32" i="6"/>
  <c r="Q32" i="6"/>
  <c r="AQ32" i="6"/>
  <c r="FM31" i="17" s="1"/>
  <c r="FN31" i="17" s="1"/>
  <c r="AU32" i="6"/>
  <c r="GC31" i="17" s="1"/>
  <c r="GD31" i="17" s="1"/>
  <c r="AY32" i="6"/>
  <c r="GS31" i="17" s="1"/>
  <c r="GT31" i="17" s="1"/>
  <c r="BE32" i="6"/>
  <c r="HQ31" i="17" s="1"/>
  <c r="HR31" i="17" s="1"/>
  <c r="BG32" i="6"/>
  <c r="HY31" i="17" s="1"/>
  <c r="HZ31" i="17" s="1"/>
  <c r="BU32" i="6"/>
  <c r="BW32" i="6"/>
  <c r="BY32" i="6"/>
  <c r="CA32" i="6"/>
  <c r="CC32" i="6"/>
  <c r="CG32" i="6"/>
  <c r="AU11" i="1"/>
  <c r="BE11" i="1"/>
  <c r="AU12" i="1"/>
  <c r="BE12" i="1"/>
  <c r="AU13" i="1"/>
  <c r="BE13" i="1"/>
  <c r="AU14" i="1"/>
  <c r="BE14" i="1"/>
  <c r="AU15" i="1"/>
  <c r="BE15" i="1"/>
  <c r="AU16" i="1"/>
  <c r="BE16" i="1"/>
  <c r="AU17" i="1"/>
  <c r="BE17" i="1"/>
  <c r="AU18" i="1"/>
  <c r="BE18" i="1"/>
  <c r="AU19" i="1"/>
  <c r="BE19" i="1"/>
  <c r="AU20" i="1"/>
  <c r="BE20" i="1"/>
  <c r="AU21" i="1"/>
  <c r="BE21" i="1"/>
  <c r="AU22" i="1"/>
  <c r="BE22" i="1"/>
  <c r="AU23" i="1"/>
  <c r="BE23" i="1"/>
  <c r="AU24" i="1"/>
  <c r="BE24" i="1"/>
  <c r="AU25" i="1"/>
  <c r="BE25" i="1"/>
  <c r="AU26" i="1"/>
  <c r="BE26" i="1"/>
  <c r="AU27" i="1"/>
  <c r="BE27" i="1"/>
  <c r="AU28" i="1"/>
  <c r="BE28" i="1"/>
  <c r="AC29" i="1"/>
  <c r="BG29" i="1"/>
  <c r="N33" i="1"/>
  <c r="O33" i="1"/>
  <c r="P33" i="1"/>
  <c r="Q33" i="1"/>
  <c r="R33" i="1"/>
  <c r="S33" i="1"/>
  <c r="T33" i="1"/>
  <c r="U33" i="1"/>
  <c r="V33" i="1"/>
  <c r="W33" i="1"/>
  <c r="X33" i="1"/>
  <c r="Y33" i="1"/>
  <c r="Z33" i="1"/>
  <c r="AA33" i="1"/>
  <c r="AB33" i="1"/>
  <c r="AC33" i="1"/>
  <c r="AD33" i="1"/>
  <c r="AE33" i="1"/>
  <c r="AR33" i="1"/>
  <c r="AS33" i="1"/>
  <c r="AT33" i="1"/>
  <c r="AU33" i="1"/>
  <c r="AV33" i="1"/>
  <c r="AW33" i="1"/>
  <c r="AX33" i="1"/>
  <c r="AY33" i="1"/>
  <c r="AZ33" i="1"/>
  <c r="BA33" i="1"/>
  <c r="BB33" i="1"/>
  <c r="BC33" i="1"/>
  <c r="BD33" i="1"/>
  <c r="BE33" i="1"/>
  <c r="BF33" i="1"/>
  <c r="BG33" i="1"/>
  <c r="BH33" i="1"/>
  <c r="BI33" i="1"/>
  <c r="X28" i="5"/>
  <c r="AF31" i="5"/>
  <c r="F28" i="5"/>
  <c r="N31" i="5"/>
  <c r="T28" i="5"/>
  <c r="AB31" i="5"/>
  <c r="R32" i="5"/>
  <c r="X32" i="5"/>
  <c r="Z32" i="5"/>
  <c r="AF32" i="5"/>
  <c r="F32" i="5"/>
  <c r="N32" i="5"/>
  <c r="T32" i="5"/>
  <c r="G28" i="5"/>
  <c r="I28" i="5"/>
  <c r="K28" i="5"/>
  <c r="M28" i="5"/>
  <c r="O28" i="5"/>
  <c r="Q28" i="5"/>
  <c r="S28" i="5"/>
  <c r="U28" i="5"/>
  <c r="W28" i="5"/>
  <c r="Y28" i="5"/>
  <c r="AA28" i="5"/>
  <c r="AC28" i="5"/>
  <c r="AE28" i="5"/>
  <c r="AG28" i="5"/>
  <c r="AI28" i="5"/>
  <c r="AK28" i="5"/>
  <c r="AM28" i="5"/>
  <c r="G31" i="5"/>
  <c r="I31" i="5"/>
  <c r="K31" i="5"/>
  <c r="M31" i="5"/>
  <c r="O31" i="5"/>
  <c r="Q31" i="5"/>
  <c r="S31" i="5"/>
  <c r="U31" i="5"/>
  <c r="W31" i="5"/>
  <c r="Y31" i="5"/>
  <c r="AA31" i="5"/>
  <c r="AC31" i="5"/>
  <c r="AE31" i="5"/>
  <c r="AG31" i="5"/>
  <c r="AI31" i="5"/>
  <c r="AK31" i="5"/>
  <c r="AM31" i="5"/>
  <c r="G32" i="5"/>
  <c r="I32" i="5"/>
  <c r="K32" i="5"/>
  <c r="M32" i="5"/>
  <c r="O32" i="5"/>
  <c r="Q32" i="5"/>
  <c r="S32" i="5"/>
  <c r="U32" i="5"/>
  <c r="W32" i="5"/>
  <c r="Y32" i="5"/>
  <c r="AA32" i="5"/>
  <c r="AC32" i="5"/>
  <c r="AE32" i="5"/>
  <c r="AG32" i="5"/>
  <c r="AI32" i="5"/>
  <c r="AK32" i="5"/>
  <c r="AM32" i="5"/>
  <c r="Q8" i="4"/>
  <c r="E8" i="4" s="1"/>
  <c r="P8" i="4"/>
  <c r="AC26" i="4"/>
  <c r="BG26" i="4"/>
  <c r="AA26" i="4"/>
  <c r="C45" i="3" s="1"/>
  <c r="AE26" i="4"/>
  <c r="AG26" i="4"/>
  <c r="AA36" i="3" s="1"/>
  <c r="AI26" i="4"/>
  <c r="AK26" i="4"/>
  <c r="AS26" i="4"/>
  <c r="AE36" i="3" s="1"/>
  <c r="AU26" i="4"/>
  <c r="AW26" i="4"/>
  <c r="BE26" i="4"/>
  <c r="AO36" i="3" s="1"/>
  <c r="BI26" i="4"/>
  <c r="BQ26" i="4"/>
  <c r="AY36" i="3" s="1"/>
  <c r="BS26" i="4"/>
  <c r="BU26" i="4"/>
  <c r="CC26" i="4"/>
  <c r="BC36" i="3" s="1"/>
  <c r="CE26" i="4"/>
  <c r="J26" i="3"/>
  <c r="X26" i="3"/>
  <c r="AN26" i="3"/>
  <c r="D26" i="3"/>
  <c r="P26" i="3"/>
  <c r="AH26" i="3"/>
  <c r="E26" i="3"/>
  <c r="I26" i="3"/>
  <c r="I43" i="3" s="1"/>
  <c r="K26" i="3"/>
  <c r="Q26" i="3"/>
  <c r="W26" i="3"/>
  <c r="Y26" i="3"/>
  <c r="Z26" i="3"/>
  <c r="AA26" i="3"/>
  <c r="AE26" i="3"/>
  <c r="AI26" i="3"/>
  <c r="AO26" i="3"/>
  <c r="AQ26" i="3"/>
  <c r="AQ43" i="3" s="1"/>
  <c r="AY26" i="3"/>
  <c r="BC26" i="3"/>
  <c r="D30" i="3"/>
  <c r="AD30" i="3"/>
  <c r="E30" i="3"/>
  <c r="I30" i="3"/>
  <c r="I44" i="3" s="1"/>
  <c r="K30" i="3"/>
  <c r="Q30" i="3"/>
  <c r="S30" i="3"/>
  <c r="W30" i="3"/>
  <c r="Y30" i="3"/>
  <c r="AA30" i="3"/>
  <c r="AE30" i="3"/>
  <c r="AI30" i="3"/>
  <c r="AK30" i="3"/>
  <c r="AO30" i="3"/>
  <c r="AQ30" i="3"/>
  <c r="AQ44" i="3" s="1"/>
  <c r="AY30" i="3"/>
  <c r="BC30" i="3"/>
  <c r="AP11" i="6"/>
  <c r="FI10" i="17" s="1"/>
  <c r="P11" i="6"/>
  <c r="BI10" i="17" s="1"/>
  <c r="BJ10" i="17" s="1"/>
  <c r="BF11" i="6"/>
  <c r="HU10" i="17" s="1"/>
  <c r="Q12" i="1"/>
  <c r="CB12" i="6"/>
  <c r="P13" i="6"/>
  <c r="BI12" i="17" s="1"/>
  <c r="BJ12" i="17" s="1"/>
  <c r="AX13" i="6"/>
  <c r="GO12" i="17" s="1"/>
  <c r="GP12" i="17" s="1"/>
  <c r="BD13" i="6"/>
  <c r="HM12" i="17" s="1"/>
  <c r="BV13" i="6"/>
  <c r="BX13" i="6"/>
  <c r="P14" i="6"/>
  <c r="BI13" i="17" s="1"/>
  <c r="BJ13" i="17" s="1"/>
  <c r="BD14" i="6"/>
  <c r="HM13" i="17" s="1"/>
  <c r="BV14" i="6"/>
  <c r="P15" i="6"/>
  <c r="BI14" i="17" s="1"/>
  <c r="BJ14" i="17" s="1"/>
  <c r="AX15" i="6"/>
  <c r="GO14" i="17" s="1"/>
  <c r="GP14" i="17" s="1"/>
  <c r="AT16" i="6"/>
  <c r="FY15" i="17" s="1"/>
  <c r="BD16" i="6"/>
  <c r="HM15" i="17" s="1"/>
  <c r="AP17" i="6"/>
  <c r="FI16" i="17" s="1"/>
  <c r="P17" i="6"/>
  <c r="BI16" i="17" s="1"/>
  <c r="BJ16" i="17" s="1"/>
  <c r="AX17" i="6"/>
  <c r="GO16" i="17" s="1"/>
  <c r="GP16" i="17" s="1"/>
  <c r="BD17" i="6"/>
  <c r="HM16" i="17" s="1"/>
  <c r="BZ17" i="6"/>
  <c r="P18" i="6"/>
  <c r="BI17" i="17" s="1"/>
  <c r="BJ17" i="17" s="1"/>
  <c r="AX18" i="6"/>
  <c r="GO17" i="17" s="1"/>
  <c r="GP17" i="17" s="1"/>
  <c r="BX18" i="6"/>
  <c r="BT19" i="6"/>
  <c r="BV19" i="6"/>
  <c r="CB19" i="6"/>
  <c r="P20" i="6"/>
  <c r="BI19" i="17" s="1"/>
  <c r="BJ19" i="17" s="1"/>
  <c r="AX20" i="6"/>
  <c r="GO19" i="17" s="1"/>
  <c r="GP19" i="17" s="1"/>
  <c r="BD20" i="6"/>
  <c r="HM19" i="17" s="1"/>
  <c r="Q20" i="1"/>
  <c r="BZ20" i="6"/>
  <c r="P21" i="6"/>
  <c r="BI20" i="17" s="1"/>
  <c r="BJ20" i="17" s="1"/>
  <c r="AX21" i="6"/>
  <c r="GO20" i="17" s="1"/>
  <c r="GP20" i="17" s="1"/>
  <c r="BD21" i="6"/>
  <c r="HM20" i="17" s="1"/>
  <c r="BX21" i="6"/>
  <c r="P22" i="6"/>
  <c r="BI21" i="17" s="1"/>
  <c r="BJ21" i="17" s="1"/>
  <c r="BD22" i="6"/>
  <c r="HM21" i="17" s="1"/>
  <c r="Q22" i="1"/>
  <c r="BZ22" i="6"/>
  <c r="CB22" i="6"/>
  <c r="AX23" i="6"/>
  <c r="GO22" i="17" s="1"/>
  <c r="GP22" i="17" s="1"/>
  <c r="BD23" i="6"/>
  <c r="HM22" i="17" s="1"/>
  <c r="Q23" i="1"/>
  <c r="BZ23" i="6"/>
  <c r="P24" i="6"/>
  <c r="BI23" i="17" s="1"/>
  <c r="BJ23" i="17" s="1"/>
  <c r="AX24" i="6"/>
  <c r="GO23" i="17" s="1"/>
  <c r="GP23" i="17" s="1"/>
  <c r="BD24" i="6"/>
  <c r="HM23" i="17" s="1"/>
  <c r="BX24" i="6"/>
  <c r="P25" i="6"/>
  <c r="BI24" i="17" s="1"/>
  <c r="BJ24" i="17" s="1"/>
  <c r="AX25" i="6"/>
  <c r="GO24" i="17" s="1"/>
  <c r="GP24" i="17" s="1"/>
  <c r="BD25" i="6"/>
  <c r="HM24" i="17" s="1"/>
  <c r="BX25" i="6"/>
  <c r="BZ25" i="6"/>
  <c r="P26" i="6"/>
  <c r="BI25" i="17" s="1"/>
  <c r="BJ25" i="17" s="1"/>
  <c r="BD26" i="6"/>
  <c r="HM25" i="17" s="1"/>
  <c r="Q26" i="1"/>
  <c r="BZ26" i="6"/>
  <c r="CB26" i="6"/>
  <c r="P27" i="6"/>
  <c r="BI26" i="17" s="1"/>
  <c r="BJ26" i="17" s="1"/>
  <c r="AT27" i="6"/>
  <c r="FY26" i="17" s="1"/>
  <c r="BD27" i="6"/>
  <c r="HM26" i="17" s="1"/>
  <c r="BX27" i="6"/>
  <c r="P28" i="6"/>
  <c r="BI27" i="17" s="1"/>
  <c r="BJ27" i="17" s="1"/>
  <c r="AT28" i="6"/>
  <c r="FY27" i="17" s="1"/>
  <c r="BD28" i="6"/>
  <c r="HM27" i="17" s="1"/>
  <c r="BZ28" i="6"/>
  <c r="P31" i="6"/>
  <c r="BD31" i="6"/>
  <c r="HM30" i="17" s="1"/>
  <c r="CB31" i="6"/>
  <c r="P32" i="6"/>
  <c r="AX32" i="6"/>
  <c r="GO31" i="17" s="1"/>
  <c r="GP31" i="17" s="1"/>
  <c r="BD32" i="6"/>
  <c r="HM31" i="17" s="1"/>
  <c r="HN31" i="17" s="1"/>
  <c r="BV32" i="6"/>
  <c r="A3" i="9"/>
  <c r="K12" i="2"/>
  <c r="S12" i="2"/>
  <c r="W12" i="2"/>
  <c r="AB12" i="2"/>
  <c r="AS11" i="1" s="1"/>
  <c r="BB11" i="6"/>
  <c r="HE10" i="17" s="1"/>
  <c r="BH12" i="2"/>
  <c r="BI12" i="2"/>
  <c r="BI30" i="2" s="1"/>
  <c r="BJ12" i="2"/>
  <c r="BJ30" i="2" s="1"/>
  <c r="BF12" i="2"/>
  <c r="BU30" i="2"/>
  <c r="CV12" i="2"/>
  <c r="AI10" i="17" s="1"/>
  <c r="S10" i="17" s="1"/>
  <c r="DD30" i="2"/>
  <c r="N11" i="6"/>
  <c r="IJ12" i="2"/>
  <c r="AS12" i="1"/>
  <c r="BB12" i="6"/>
  <c r="HE11" i="17" s="1"/>
  <c r="N12" i="6"/>
  <c r="BB13" i="6"/>
  <c r="HE12" i="17" s="1"/>
  <c r="N13" i="6"/>
  <c r="AS14" i="1"/>
  <c r="N14" i="6"/>
  <c r="AS15" i="1"/>
  <c r="BB15" i="6"/>
  <c r="HE14" i="17" s="1"/>
  <c r="AS16" i="1"/>
  <c r="BB16" i="6"/>
  <c r="HE15" i="17" s="1"/>
  <c r="H16" i="6"/>
  <c r="AC15" i="17" s="1"/>
  <c r="N16" i="6"/>
  <c r="AS17" i="1"/>
  <c r="BB17" i="6"/>
  <c r="HE16" i="17" s="1"/>
  <c r="N17" i="6"/>
  <c r="AS18" i="1"/>
  <c r="BB18" i="6"/>
  <c r="HE17" i="17" s="1"/>
  <c r="AS19" i="1"/>
  <c r="BB19" i="6"/>
  <c r="HE18" i="17" s="1"/>
  <c r="N19" i="6"/>
  <c r="BB20" i="6"/>
  <c r="HE19" i="17" s="1"/>
  <c r="H20" i="6"/>
  <c r="AC19" i="17" s="1"/>
  <c r="N20" i="6"/>
  <c r="AS21" i="1"/>
  <c r="BB21" i="6"/>
  <c r="HE20" i="17" s="1"/>
  <c r="BB22" i="6"/>
  <c r="HE21" i="17" s="1"/>
  <c r="N22" i="6"/>
  <c r="BB23" i="6"/>
  <c r="HE22" i="17" s="1"/>
  <c r="N23" i="6"/>
  <c r="BB24" i="6"/>
  <c r="HE23" i="17" s="1"/>
  <c r="H24" i="6"/>
  <c r="AC23" i="17" s="1"/>
  <c r="N24" i="6"/>
  <c r="AS25" i="1"/>
  <c r="BB25" i="6"/>
  <c r="HE24" i="17" s="1"/>
  <c r="BB26" i="6"/>
  <c r="HE25" i="17" s="1"/>
  <c r="N26" i="6"/>
  <c r="BB27" i="6"/>
  <c r="HE26" i="17" s="1"/>
  <c r="N27" i="6"/>
  <c r="AS28" i="1"/>
  <c r="BB28" i="6"/>
  <c r="HE27" i="17" s="1"/>
  <c r="H28" i="6"/>
  <c r="AC27" i="17" s="1"/>
  <c r="G30" i="2"/>
  <c r="H69" i="1" s="1"/>
  <c r="I30" i="2"/>
  <c r="M30" i="2"/>
  <c r="O30" i="2"/>
  <c r="H70" i="1" s="1"/>
  <c r="Q30" i="2"/>
  <c r="U30" i="2"/>
  <c r="J70" i="1" s="1"/>
  <c r="X30" i="2"/>
  <c r="Y30" i="2"/>
  <c r="Z30" i="2"/>
  <c r="AC30" i="2"/>
  <c r="AD30" i="2"/>
  <c r="AH30" i="2"/>
  <c r="AQ30" i="2"/>
  <c r="AQ54" i="2" s="1"/>
  <c r="AR30" i="2"/>
  <c r="PY30" i="2"/>
  <c r="PZ30" i="2"/>
  <c r="AT30" i="2"/>
  <c r="AT54" i="2" s="1"/>
  <c r="AZ30" i="2"/>
  <c r="BA30" i="2"/>
  <c r="BB30" i="2"/>
  <c r="BP30" i="2"/>
  <c r="BQ30" i="2"/>
  <c r="BR30" i="2"/>
  <c r="BX30" i="2"/>
  <c r="BW54" i="2" s="1"/>
  <c r="BY30" i="2"/>
  <c r="CF30" i="2"/>
  <c r="CG30" i="2"/>
  <c r="CR30" i="2"/>
  <c r="CR54" i="2" s="1"/>
  <c r="CT30" i="2"/>
  <c r="CX30" i="2"/>
  <c r="CZ30" i="2"/>
  <c r="CZ54" i="2" s="1"/>
  <c r="DB30" i="2"/>
  <c r="DF30" i="2"/>
  <c r="DY30" i="2"/>
  <c r="DZ30" i="2"/>
  <c r="EA30" i="2"/>
  <c r="EB30" i="2"/>
  <c r="IK30" i="2"/>
  <c r="IL30" i="2"/>
  <c r="K34" i="2"/>
  <c r="W32" i="2"/>
  <c r="AA34" i="2"/>
  <c r="BB31" i="6"/>
  <c r="HE30" i="17" s="1"/>
  <c r="HF30" i="17" s="1"/>
  <c r="PV34" i="2"/>
  <c r="CS34" i="2"/>
  <c r="CV34" i="2"/>
  <c r="DD34" i="2"/>
  <c r="DR34" i="2"/>
  <c r="DS34" i="2"/>
  <c r="L34" i="2"/>
  <c r="S33" i="2"/>
  <c r="S34" i="2" s="1"/>
  <c r="W33" i="2"/>
  <c r="BH34" i="2"/>
  <c r="CI34" i="2"/>
  <c r="DT34" i="2"/>
  <c r="G34" i="2"/>
  <c r="E69" i="1" s="1"/>
  <c r="I34" i="2"/>
  <c r="M34" i="2"/>
  <c r="O34" i="2"/>
  <c r="E70" i="1" s="1"/>
  <c r="Q34" i="2"/>
  <c r="U34" i="2"/>
  <c r="X34" i="2"/>
  <c r="Y34" i="2"/>
  <c r="Z34" i="2"/>
  <c r="AC34" i="2"/>
  <c r="AD34" i="2"/>
  <c r="AH34" i="2"/>
  <c r="AQ34" i="2"/>
  <c r="AQ55" i="2" s="1"/>
  <c r="AR34" i="2"/>
  <c r="PY34" i="2"/>
  <c r="PZ34" i="2"/>
  <c r="AT34" i="2"/>
  <c r="AT55" i="2" s="1"/>
  <c r="AV34" i="2"/>
  <c r="AW34" i="2"/>
  <c r="AZ34" i="2"/>
  <c r="BA34" i="2"/>
  <c r="BB34" i="2"/>
  <c r="BD34" i="2"/>
  <c r="BE34" i="2"/>
  <c r="BF34" i="2"/>
  <c r="BI34" i="2"/>
  <c r="BJ34" i="2"/>
  <c r="BL34" i="2"/>
  <c r="BM34" i="2"/>
  <c r="BN34" i="2"/>
  <c r="BP34" i="2"/>
  <c r="BQ34" i="2"/>
  <c r="BR34" i="2"/>
  <c r="BX34" i="2"/>
  <c r="BW55" i="2" s="1"/>
  <c r="BY34" i="2"/>
  <c r="CB34" i="2"/>
  <c r="CC34" i="2"/>
  <c r="CF34" i="2"/>
  <c r="CG34" i="2"/>
  <c r="CK34" i="2"/>
  <c r="CL34" i="2"/>
  <c r="CR34" i="2"/>
  <c r="CR55" i="2" s="1"/>
  <c r="CT34" i="2"/>
  <c r="CX34" i="2"/>
  <c r="CZ34" i="2"/>
  <c r="DB34" i="2"/>
  <c r="DF34" i="2"/>
  <c r="DY34" i="2"/>
  <c r="DZ34" i="2"/>
  <c r="EA34" i="2"/>
  <c r="EB34" i="2"/>
  <c r="IJ34" i="2"/>
  <c r="IJ55" i="2" s="1"/>
  <c r="IK34" i="2"/>
  <c r="IL34" i="2"/>
  <c r="BT28" i="6"/>
  <c r="Q28" i="1"/>
  <c r="E3" i="1"/>
  <c r="Q21" i="1"/>
  <c r="Q17" i="1"/>
  <c r="BT17" i="6"/>
  <c r="BT18" i="6"/>
  <c r="BT15" i="6"/>
  <c r="Q13" i="1"/>
  <c r="H380" i="8"/>
  <c r="D87" i="8"/>
  <c r="H308" i="8"/>
  <c r="D351" i="8"/>
  <c r="J344" i="8"/>
  <c r="D345" i="8"/>
  <c r="D342" i="8"/>
  <c r="J272" i="8"/>
  <c r="BF16" i="6"/>
  <c r="HU15" i="17" s="1"/>
  <c r="AN30" i="3"/>
  <c r="BF14" i="6"/>
  <c r="HU13" i="17" s="1"/>
  <c r="BB14" i="6"/>
  <c r="HE13" i="17" s="1"/>
  <c r="CK12" i="2"/>
  <c r="BV17" i="6"/>
  <c r="P23" i="6"/>
  <c r="BI22" i="17" s="1"/>
  <c r="BJ22" i="17" s="1"/>
  <c r="BD19" i="6"/>
  <c r="HM18" i="17" s="1"/>
  <c r="H26" i="3"/>
  <c r="H43" i="3" s="1"/>
  <c r="Z28" i="5"/>
  <c r="T31" i="5"/>
  <c r="N32" i="6"/>
  <c r="BX23" i="6"/>
  <c r="BV26" i="6"/>
  <c r="BD15" i="6"/>
  <c r="HM14" i="17" s="1"/>
  <c r="AX14" i="6"/>
  <c r="GO13" i="17" s="1"/>
  <c r="GP13" i="17" s="1"/>
  <c r="BV27" i="6"/>
  <c r="AX19" i="6"/>
  <c r="GO18" i="17" s="1"/>
  <c r="GP18" i="17" s="1"/>
  <c r="BF15" i="6"/>
  <c r="HU14" i="17" s="1"/>
  <c r="N28" i="6"/>
  <c r="BV31" i="6"/>
  <c r="BV22" i="6"/>
  <c r="BZ18" i="6"/>
  <c r="DE34" i="2"/>
  <c r="N18" i="6"/>
  <c r="AX22" i="6"/>
  <c r="GO21" i="17" s="1"/>
  <c r="GP21" i="17" s="1"/>
  <c r="BT14" i="6"/>
  <c r="Q14" i="1"/>
  <c r="AB28" i="5"/>
  <c r="Z31" i="5"/>
  <c r="BF19" i="6"/>
  <c r="HU18" i="17" s="1"/>
  <c r="AX16" i="6"/>
  <c r="GO15" i="17" s="1"/>
  <c r="GP15" i="17" s="1"/>
  <c r="AD26" i="3"/>
  <c r="AT14" i="6"/>
  <c r="FY13" i="17" s="1"/>
  <c r="AJ24" i="1"/>
  <c r="AJ25" i="1"/>
  <c r="AJ18" i="1"/>
  <c r="AT21" i="6"/>
  <c r="FY20" i="17" s="1"/>
  <c r="AT32" i="6"/>
  <c r="FY31" i="17" s="1"/>
  <c r="FZ31" i="17" s="1"/>
  <c r="BF18" i="6"/>
  <c r="HU17" i="17" s="1"/>
  <c r="AT17" i="6"/>
  <c r="FY16" i="17" s="1"/>
  <c r="AP13" i="6"/>
  <c r="FI12" i="17" s="1"/>
  <c r="Q16" i="1"/>
  <c r="BT16" i="6"/>
  <c r="AJ11" i="1"/>
  <c r="AX11" i="6"/>
  <c r="GO10" i="17" s="1"/>
  <c r="GP10" i="17" s="1"/>
  <c r="AT26" i="6"/>
  <c r="FY25" i="17" s="1"/>
  <c r="BV28" i="6"/>
  <c r="BT23" i="6"/>
  <c r="BT22" i="6"/>
  <c r="Q19" i="1"/>
  <c r="P19" i="6"/>
  <c r="BI18" i="17" s="1"/>
  <c r="BJ18" i="17" s="1"/>
  <c r="AP27" i="6"/>
  <c r="FI26" i="17" s="1"/>
  <c r="BF26" i="6"/>
  <c r="HU25" i="17" s="1"/>
  <c r="Q24" i="1"/>
  <c r="BT24" i="6"/>
  <c r="AP24" i="6"/>
  <c r="FI23" i="17" s="1"/>
  <c r="P12" i="6"/>
  <c r="BI11" i="17" s="1"/>
  <c r="BJ11" i="17" s="1"/>
  <c r="AP23" i="6"/>
  <c r="FI22" i="17" s="1"/>
  <c r="BD18" i="6"/>
  <c r="HM17" i="17" s="1"/>
  <c r="BD11" i="6"/>
  <c r="HM10" i="17" s="1"/>
  <c r="AJ31" i="1"/>
  <c r="DN34" i="2"/>
  <c r="H22" i="6"/>
  <c r="AC21" i="17" s="1"/>
  <c r="H11" i="6"/>
  <c r="AC10" i="17" s="1"/>
  <c r="H25" i="6"/>
  <c r="AC24" i="17" s="1"/>
  <c r="BB30" i="3"/>
  <c r="AJ30" i="3"/>
  <c r="J30" i="3"/>
  <c r="AH28" i="5"/>
  <c r="X31" i="5"/>
  <c r="N28" i="5"/>
  <c r="AX27" i="6"/>
  <c r="GO26" i="17" s="1"/>
  <c r="GP26" i="17" s="1"/>
  <c r="BT26" i="6"/>
  <c r="AX26" i="6"/>
  <c r="GO25" i="17" s="1"/>
  <c r="GP25" i="17" s="1"/>
  <c r="Q25" i="1"/>
  <c r="BF22" i="6"/>
  <c r="HU21" i="17" s="1"/>
  <c r="BX17" i="6"/>
  <c r="BD12" i="6"/>
  <c r="HM11" i="17" s="1"/>
  <c r="Q11" i="1"/>
  <c r="AX30" i="3"/>
  <c r="CB25" i="6"/>
  <c r="BT25" i="6"/>
  <c r="AX28" i="6"/>
  <c r="GO27" i="17" s="1"/>
  <c r="GP27" i="17" s="1"/>
  <c r="Q27" i="1"/>
  <c r="BT27" i="6"/>
  <c r="AG34" i="2"/>
  <c r="BT34" i="2"/>
  <c r="BS55" i="2" s="1"/>
  <c r="BT32" i="6"/>
  <c r="BX22" i="6"/>
  <c r="P30" i="3"/>
  <c r="CB32" i="6"/>
  <c r="BZ31" i="6"/>
  <c r="CB27" i="6"/>
  <c r="BV24" i="6"/>
  <c r="CB23" i="6"/>
  <c r="CB21" i="6"/>
  <c r="BX19" i="6"/>
  <c r="BV16" i="6"/>
  <c r="CB15" i="6"/>
  <c r="CB14" i="6"/>
  <c r="CB13" i="6"/>
  <c r="BT13" i="6"/>
  <c r="BX12" i="6"/>
  <c r="CB11" i="6"/>
  <c r="BT11" i="6"/>
  <c r="Z30" i="3"/>
  <c r="AM34" i="2"/>
  <c r="BV25" i="6"/>
  <c r="CB20" i="6"/>
  <c r="BV20" i="6"/>
  <c r="BZ19" i="6"/>
  <c r="CB18" i="6"/>
  <c r="Q18" i="1"/>
  <c r="CB17" i="6"/>
  <c r="Q15" i="1"/>
  <c r="BZ12" i="6"/>
  <c r="BV11" i="6"/>
  <c r="BD12" i="2"/>
  <c r="BV23" i="6"/>
  <c r="AT23" i="6"/>
  <c r="FY22" i="17" s="1"/>
  <c r="BX15" i="6"/>
  <c r="CB28" i="6"/>
  <c r="BX26" i="6"/>
  <c r="BZ24" i="6"/>
  <c r="BV18" i="6"/>
  <c r="BZ16" i="6"/>
  <c r="BX14" i="6"/>
  <c r="BX11" i="6"/>
  <c r="H26" i="6"/>
  <c r="AC25" i="17" s="1"/>
  <c r="BZ27" i="6"/>
  <c r="CB24" i="6"/>
  <c r="BT21" i="6"/>
  <c r="CB16" i="6"/>
  <c r="BZ14" i="6"/>
  <c r="BZ11" i="6"/>
  <c r="BZ15" i="6"/>
  <c r="H32" i="6"/>
  <c r="AC31" i="17" s="1"/>
  <c r="X30" i="3"/>
  <c r="H18" i="6"/>
  <c r="AC17" i="17" s="1"/>
  <c r="CB30" i="2"/>
  <c r="AT18" i="6"/>
  <c r="FY17" i="17" s="1"/>
  <c r="N25" i="6"/>
  <c r="R30" i="3"/>
  <c r="N21" i="6"/>
  <c r="AL34" i="2"/>
  <c r="AL55" i="2" s="1"/>
  <c r="H19" i="6"/>
  <c r="AC18" i="17" s="1"/>
  <c r="BM33" i="1" l="1"/>
  <c r="BN33" i="1"/>
  <c r="D475" i="8"/>
  <c r="BS32" i="6"/>
  <c r="BS28" i="6"/>
  <c r="BS27" i="6"/>
  <c r="BS26" i="6"/>
  <c r="BS25" i="6"/>
  <c r="DD25" i="6" s="1"/>
  <c r="BS24" i="6"/>
  <c r="BS23" i="6"/>
  <c r="BS22" i="6"/>
  <c r="BS21" i="6"/>
  <c r="DD21" i="6" s="1"/>
  <c r="BS20" i="6"/>
  <c r="BS19" i="6"/>
  <c r="BS17" i="6"/>
  <c r="BS16" i="6"/>
  <c r="BS15" i="6"/>
  <c r="BS14" i="6"/>
  <c r="BS13" i="6"/>
  <c r="BS12" i="6"/>
  <c r="DD12" i="6" s="1"/>
  <c r="BS11" i="6"/>
  <c r="BS18" i="6"/>
  <c r="G109" i="8"/>
  <c r="I109" i="8" s="1"/>
  <c r="AI28" i="17"/>
  <c r="AI35" i="17" s="1"/>
  <c r="BE31" i="17"/>
  <c r="BF31" i="17" s="1"/>
  <c r="E32" i="6"/>
  <c r="BE25" i="17"/>
  <c r="BF25" i="17" s="1"/>
  <c r="R25" i="17" s="1"/>
  <c r="G25" i="17" s="1"/>
  <c r="F25" i="17" s="1"/>
  <c r="E26" i="6"/>
  <c r="BE21" i="17"/>
  <c r="BF21" i="17" s="1"/>
  <c r="R21" i="17" s="1"/>
  <c r="G21" i="17" s="1"/>
  <c r="F21" i="17" s="1"/>
  <c r="E22" i="6"/>
  <c r="BE17" i="17"/>
  <c r="BF17" i="17" s="1"/>
  <c r="R17" i="17" s="1"/>
  <c r="G17" i="17" s="1"/>
  <c r="BE13" i="17"/>
  <c r="BF13" i="17" s="1"/>
  <c r="R13" i="17" s="1"/>
  <c r="E14" i="6"/>
  <c r="BA12" i="17"/>
  <c r="BB12" i="17" s="1"/>
  <c r="N12" i="17" s="1"/>
  <c r="C12" i="17" s="1"/>
  <c r="BA27" i="17"/>
  <c r="BB27" i="17" s="1"/>
  <c r="N27" i="17" s="1"/>
  <c r="BA31" i="17"/>
  <c r="BB31" i="17" s="1"/>
  <c r="BA22" i="17"/>
  <c r="BB22" i="17" s="1"/>
  <c r="N22" i="17" s="1"/>
  <c r="BE30" i="17"/>
  <c r="BF30" i="17" s="1"/>
  <c r="E31" i="6"/>
  <c r="BE24" i="17"/>
  <c r="BF24" i="17" s="1"/>
  <c r="R24" i="17" s="1"/>
  <c r="E25" i="6"/>
  <c r="BE20" i="17"/>
  <c r="BF20" i="17" s="1"/>
  <c r="E21" i="6"/>
  <c r="BE16" i="17"/>
  <c r="BF16" i="17" s="1"/>
  <c r="R16" i="17" s="1"/>
  <c r="E17" i="6"/>
  <c r="BE12" i="17"/>
  <c r="BF12" i="17" s="1"/>
  <c r="R12" i="17" s="1"/>
  <c r="G12" i="17" s="1"/>
  <c r="F12" i="17" s="1"/>
  <c r="E13" i="6"/>
  <c r="BA15" i="17"/>
  <c r="BB15" i="17" s="1"/>
  <c r="BA24" i="17"/>
  <c r="BB24" i="17" s="1"/>
  <c r="N24" i="17" s="1"/>
  <c r="BA17" i="17"/>
  <c r="BB17" i="17" s="1"/>
  <c r="N17" i="17" s="1"/>
  <c r="C17" i="17" s="1"/>
  <c r="BA26" i="17"/>
  <c r="BB26" i="17" s="1"/>
  <c r="N26" i="17" s="1"/>
  <c r="BA13" i="17"/>
  <c r="BB13" i="17" s="1"/>
  <c r="N13" i="17" s="1"/>
  <c r="BA11" i="17"/>
  <c r="BB11" i="17" s="1"/>
  <c r="BA10" i="17"/>
  <c r="BB10" i="17" s="1"/>
  <c r="N10" i="17" s="1"/>
  <c r="C10" i="17" s="1"/>
  <c r="BE27" i="17"/>
  <c r="BF27" i="17" s="1"/>
  <c r="R27" i="17" s="1"/>
  <c r="BE23" i="17"/>
  <c r="BF23" i="17" s="1"/>
  <c r="R23" i="17" s="1"/>
  <c r="G23" i="17" s="1"/>
  <c r="F23" i="17" s="1"/>
  <c r="E24" i="6"/>
  <c r="BE19" i="17"/>
  <c r="BF19" i="17" s="1"/>
  <c r="R19" i="17" s="1"/>
  <c r="E20" i="6"/>
  <c r="BE15" i="17"/>
  <c r="BF15" i="17" s="1"/>
  <c r="R15" i="17" s="1"/>
  <c r="E16" i="6"/>
  <c r="BE11" i="17"/>
  <c r="BF11" i="17" s="1"/>
  <c r="R11" i="17" s="1"/>
  <c r="BA25" i="17"/>
  <c r="BB25" i="17" s="1"/>
  <c r="N25" i="17" s="1"/>
  <c r="BA23" i="17"/>
  <c r="BB23" i="17" s="1"/>
  <c r="N23" i="17" s="1"/>
  <c r="BA18" i="17"/>
  <c r="BB18" i="17" s="1"/>
  <c r="N18" i="17" s="1"/>
  <c r="BA20" i="17"/>
  <c r="BB20" i="17" s="1"/>
  <c r="N20" i="17" s="1"/>
  <c r="BA21" i="17"/>
  <c r="BB21" i="17" s="1"/>
  <c r="N21" i="17" s="1"/>
  <c r="BA19" i="17"/>
  <c r="BB19" i="17" s="1"/>
  <c r="N19" i="17" s="1"/>
  <c r="BA16" i="17"/>
  <c r="BB16" i="17" s="1"/>
  <c r="N16" i="17" s="1"/>
  <c r="BE26" i="17"/>
  <c r="BF26" i="17" s="1"/>
  <c r="R26" i="17" s="1"/>
  <c r="E27" i="6"/>
  <c r="BE22" i="17"/>
  <c r="BF22" i="17" s="1"/>
  <c r="R22" i="17" s="1"/>
  <c r="E23" i="6"/>
  <c r="BE18" i="17"/>
  <c r="BF18" i="17" s="1"/>
  <c r="R18" i="17" s="1"/>
  <c r="E19" i="6"/>
  <c r="BE14" i="17"/>
  <c r="BF14" i="17" s="1"/>
  <c r="R14" i="17" s="1"/>
  <c r="E15" i="6"/>
  <c r="BE10" i="17"/>
  <c r="BF10" i="17" s="1"/>
  <c r="R10" i="17" s="1"/>
  <c r="E11" i="6"/>
  <c r="BN28" i="17"/>
  <c r="BN35" i="17" s="1"/>
  <c r="D228" i="8"/>
  <c r="AH30" i="17"/>
  <c r="GD32" i="17"/>
  <c r="GD35" i="17" s="1"/>
  <c r="GT32" i="17"/>
  <c r="HY28" i="17"/>
  <c r="HR32" i="17"/>
  <c r="HR35" i="17" s="1"/>
  <c r="AH31" i="17"/>
  <c r="HZ30" i="17"/>
  <c r="HZ32" i="17" s="1"/>
  <c r="HZ35" i="17" s="1"/>
  <c r="HY32" i="17"/>
  <c r="GT28" i="17"/>
  <c r="FN32" i="17"/>
  <c r="FN35" i="17" s="1"/>
  <c r="HJ32" i="17"/>
  <c r="HJ35" i="17" s="1"/>
  <c r="HM32" i="17"/>
  <c r="HN30" i="17"/>
  <c r="HN32" i="17" s="1"/>
  <c r="HN35" i="17" s="1"/>
  <c r="AD31" i="17"/>
  <c r="GC32" i="17"/>
  <c r="HQ28" i="17"/>
  <c r="BM28" i="17"/>
  <c r="BM35" i="17" s="1"/>
  <c r="GS32" i="17"/>
  <c r="HI28" i="17"/>
  <c r="HM28" i="17"/>
  <c r="HE28" i="17"/>
  <c r="HQ32" i="17"/>
  <c r="GC28" i="17"/>
  <c r="FM32" i="17"/>
  <c r="HI32" i="17"/>
  <c r="GS28" i="17"/>
  <c r="C43" i="3"/>
  <c r="AE33" i="3"/>
  <c r="C44" i="3"/>
  <c r="D327" i="8"/>
  <c r="C8" i="16"/>
  <c r="D132" i="8"/>
  <c r="C21" i="16"/>
  <c r="D110" i="8"/>
  <c r="D111" i="8" s="1"/>
  <c r="F29" i="6"/>
  <c r="F36" i="6" s="1"/>
  <c r="AG32" i="17"/>
  <c r="AG28" i="17"/>
  <c r="F3" i="6"/>
  <c r="A3" i="7" s="1"/>
  <c r="P3" i="17"/>
  <c r="D438" i="8"/>
  <c r="D437" i="8"/>
  <c r="D9" i="8"/>
  <c r="D71" i="8"/>
  <c r="D91" i="8"/>
  <c r="D476" i="8" s="1"/>
  <c r="D88" i="8"/>
  <c r="D326" i="8"/>
  <c r="I383" i="8"/>
  <c r="G379" i="8"/>
  <c r="DD11" i="6"/>
  <c r="DD24" i="6"/>
  <c r="DD16" i="6"/>
  <c r="DD15" i="6"/>
  <c r="DD32" i="6"/>
  <c r="DD26" i="6"/>
  <c r="DD18" i="6"/>
  <c r="DD28" i="6"/>
  <c r="DD20" i="6"/>
  <c r="DD31" i="6"/>
  <c r="DD27" i="6"/>
  <c r="DD23" i="6"/>
  <c r="DD19" i="6"/>
  <c r="DD22" i="6"/>
  <c r="DD14" i="6"/>
  <c r="DD17" i="6"/>
  <c r="DD13" i="6"/>
  <c r="G203" i="8"/>
  <c r="I203" i="8" s="1"/>
  <c r="D202" i="8"/>
  <c r="D204" i="8" s="1"/>
  <c r="I96" i="8"/>
  <c r="I174" i="8"/>
  <c r="CV30" i="2"/>
  <c r="CV37" i="2" s="1"/>
  <c r="CR59" i="2" s="1"/>
  <c r="K29" i="6"/>
  <c r="K36" i="6" s="1"/>
  <c r="D26" i="8"/>
  <c r="D10" i="8" s="1"/>
  <c r="AO33" i="3"/>
  <c r="AO38" i="3" s="1"/>
  <c r="AO40" i="3" s="1"/>
  <c r="AA33" i="3"/>
  <c r="I307" i="8"/>
  <c r="QX12" i="2"/>
  <c r="QX30" i="2" s="1"/>
  <c r="QX37" i="2" s="1"/>
  <c r="DU30" i="2"/>
  <c r="DU54" i="2" s="1"/>
  <c r="I380" i="8"/>
  <c r="BH30" i="2"/>
  <c r="BH37" i="2" s="1"/>
  <c r="AZ59" i="2" s="1"/>
  <c r="BG12" i="2"/>
  <c r="BG30" i="2" s="1"/>
  <c r="BG37" i="2" s="1"/>
  <c r="AP54" i="2"/>
  <c r="AP55" i="2"/>
  <c r="CI12" i="2"/>
  <c r="AR42" i="1"/>
  <c r="CL12" i="2"/>
  <c r="I292" i="8"/>
  <c r="G291" i="8"/>
  <c r="I291" i="8" s="1"/>
  <c r="I118" i="8"/>
  <c r="D313" i="8"/>
  <c r="AZ37" i="2"/>
  <c r="AZ53" i="2" s="1"/>
  <c r="BR37" i="2"/>
  <c r="BB60" i="2" s="1"/>
  <c r="DY37" i="2"/>
  <c r="AR37" i="2"/>
  <c r="AC37" i="2"/>
  <c r="H441" i="8"/>
  <c r="E505" i="8"/>
  <c r="D11" i="16" s="1"/>
  <c r="PY37" i="2"/>
  <c r="D133" i="8"/>
  <c r="D243" i="8"/>
  <c r="D229" i="8" s="1"/>
  <c r="CC33" i="6"/>
  <c r="I149" i="8"/>
  <c r="BY37" i="2"/>
  <c r="IK37" i="2"/>
  <c r="F350" i="8" s="1"/>
  <c r="F351" i="8" s="1"/>
  <c r="BP37" i="2"/>
  <c r="AZ60" i="2" s="1"/>
  <c r="G13" i="8"/>
  <c r="I13" i="8" s="1"/>
  <c r="CR37" i="2"/>
  <c r="W33" i="3"/>
  <c r="G2" i="4"/>
  <c r="CZ37" i="2"/>
  <c r="CZ55" i="2"/>
  <c r="D505" i="8"/>
  <c r="C11" i="16" s="1"/>
  <c r="G503" i="8"/>
  <c r="I503" i="8" s="1"/>
  <c r="F505" i="8"/>
  <c r="E11" i="16" s="1"/>
  <c r="E504" i="8"/>
  <c r="F504" i="8"/>
  <c r="Q33" i="3"/>
  <c r="BC33" i="3"/>
  <c r="BC38" i="3" s="1"/>
  <c r="BC40" i="3" s="1"/>
  <c r="O37" i="2"/>
  <c r="Z33" i="3"/>
  <c r="BA37" i="2"/>
  <c r="PZ37" i="2"/>
  <c r="PZ42" i="2" s="1"/>
  <c r="F83" i="8"/>
  <c r="F85" i="8" s="1"/>
  <c r="E14" i="16" s="1"/>
  <c r="Z37" i="2"/>
  <c r="CT37" i="2"/>
  <c r="BX37" i="2"/>
  <c r="BW53" i="2" s="1"/>
  <c r="BW57" i="2" s="1"/>
  <c r="CG37" i="2"/>
  <c r="BA12" i="1"/>
  <c r="MR38" i="2"/>
  <c r="MR42" i="2" s="1"/>
  <c r="CX37" i="2"/>
  <c r="W34" i="2"/>
  <c r="MS38" i="2"/>
  <c r="MS42" i="2" s="1"/>
  <c r="IJ30" i="2"/>
  <c r="EB37" i="2"/>
  <c r="F329" i="8" s="1"/>
  <c r="F330" i="8" s="1"/>
  <c r="DF37" i="2"/>
  <c r="CZ60" i="2" s="1"/>
  <c r="BJ37" i="2"/>
  <c r="BB59" i="2" s="1"/>
  <c r="AQ33" i="6"/>
  <c r="I33" i="6"/>
  <c r="AD37" i="2"/>
  <c r="X37" i="2"/>
  <c r="I29" i="6"/>
  <c r="AH37" i="2"/>
  <c r="Y37" i="2"/>
  <c r="BI37" i="2"/>
  <c r="W30" i="2"/>
  <c r="O33" i="6"/>
  <c r="BQ33" i="6"/>
  <c r="DB37" i="2"/>
  <c r="CZ56" i="2" s="1"/>
  <c r="AQ37" i="2"/>
  <c r="AQ53" i="2" s="1"/>
  <c r="Q37" i="2"/>
  <c r="AR40" i="1" s="1"/>
  <c r="DZ37" i="2"/>
  <c r="DV37" i="2"/>
  <c r="DV42" i="2" s="1"/>
  <c r="AC36" i="1"/>
  <c r="AC37" i="1" s="1"/>
  <c r="BG36" i="1"/>
  <c r="BG37" i="1" s="1"/>
  <c r="CF37" i="2"/>
  <c r="CE60" i="2" s="1"/>
  <c r="BQ37" i="2"/>
  <c r="BB37" i="2"/>
  <c r="AT37" i="2"/>
  <c r="AT53" i="2" s="1"/>
  <c r="M37" i="2"/>
  <c r="J69" i="1" s="1"/>
  <c r="IL37" i="2"/>
  <c r="EA37" i="2"/>
  <c r="F206" i="8" s="1"/>
  <c r="F207" i="8" s="1"/>
  <c r="BA25" i="1"/>
  <c r="BA23" i="1"/>
  <c r="W14" i="1"/>
  <c r="BA27" i="1"/>
  <c r="BA15" i="1"/>
  <c r="BA13" i="1"/>
  <c r="W21" i="1"/>
  <c r="BA28" i="1"/>
  <c r="BA26" i="1"/>
  <c r="BA24" i="1"/>
  <c r="BA22" i="1"/>
  <c r="BA20" i="1"/>
  <c r="BA18" i="1"/>
  <c r="BA16" i="1"/>
  <c r="BA14" i="1"/>
  <c r="BA19" i="1"/>
  <c r="BA17" i="1"/>
  <c r="BA11" i="1"/>
  <c r="W16" i="1"/>
  <c r="BA21" i="1"/>
  <c r="BE29" i="1"/>
  <c r="BE36" i="1" s="1"/>
  <c r="AY25" i="1"/>
  <c r="AY14" i="1"/>
  <c r="AY28" i="1"/>
  <c r="AY19" i="1"/>
  <c r="AY21" i="1"/>
  <c r="AY12" i="1"/>
  <c r="AY18" i="1"/>
  <c r="AY17" i="1"/>
  <c r="AY16" i="1"/>
  <c r="AY15" i="1"/>
  <c r="AO33" i="6"/>
  <c r="F272" i="8"/>
  <c r="G37" i="2"/>
  <c r="F66" i="8"/>
  <c r="F68" i="8" s="1"/>
  <c r="E19" i="16" s="1"/>
  <c r="F341" i="8"/>
  <c r="F342" i="8" s="1"/>
  <c r="AJ14" i="1"/>
  <c r="Q29" i="6"/>
  <c r="CA33" i="6"/>
  <c r="BU33" i="6"/>
  <c r="BE33" i="6"/>
  <c r="AU29" i="1"/>
  <c r="AU36" i="1" s="1"/>
  <c r="CC29" i="6"/>
  <c r="BE29" i="6"/>
  <c r="CG29" i="6"/>
  <c r="AY33" i="6"/>
  <c r="CG33" i="6"/>
  <c r="H109" i="8"/>
  <c r="H13" i="8"/>
  <c r="G441" i="8"/>
  <c r="I441" i="8" s="1"/>
  <c r="G224" i="8"/>
  <c r="H385" i="8"/>
  <c r="G366" i="8"/>
  <c r="I366" i="8" s="1"/>
  <c r="I223" i="8"/>
  <c r="I225" i="8"/>
  <c r="I384" i="8"/>
  <c r="H224" i="8"/>
  <c r="D185" i="8"/>
  <c r="D186" i="8" s="1"/>
  <c r="H366" i="8"/>
  <c r="H309" i="8"/>
  <c r="C30" i="3"/>
  <c r="H503" i="8"/>
  <c r="I37" i="2"/>
  <c r="AR39" i="1" s="1"/>
  <c r="K30" i="2"/>
  <c r="K37" i="2" s="1"/>
  <c r="L69" i="1" s="1"/>
  <c r="U37" i="2"/>
  <c r="C32" i="5"/>
  <c r="AJ21" i="1"/>
  <c r="A3" i="15"/>
  <c r="C31" i="5"/>
  <c r="C28" i="5"/>
  <c r="I33" i="3"/>
  <c r="BD33" i="6"/>
  <c r="BI29" i="1"/>
  <c r="BI36" i="1" s="1"/>
  <c r="CA29" i="6"/>
  <c r="AU29" i="6"/>
  <c r="C33" i="7"/>
  <c r="CB37" i="2"/>
  <c r="CA60" i="2" s="1"/>
  <c r="E18" i="2"/>
  <c r="AG17" i="1" s="1"/>
  <c r="AR49" i="1"/>
  <c r="DD37" i="2"/>
  <c r="CZ59" i="2" s="1"/>
  <c r="E32" i="2"/>
  <c r="AG31" i="1" s="1"/>
  <c r="E22" i="2"/>
  <c r="AG21" i="1" s="1"/>
  <c r="AE29" i="1"/>
  <c r="AE36" i="1" s="1"/>
  <c r="BW33" i="6"/>
  <c r="BG33" i="6"/>
  <c r="AY29" i="6"/>
  <c r="BW29" i="6"/>
  <c r="BG29" i="6"/>
  <c r="O29" i="6"/>
  <c r="BQ29" i="6"/>
  <c r="BC29" i="6"/>
  <c r="AO29" i="6"/>
  <c r="Q33" i="6"/>
  <c r="AU33" i="6"/>
  <c r="S29" i="1"/>
  <c r="S36" i="1" s="1"/>
  <c r="E26" i="2"/>
  <c r="AG25" i="1" s="1"/>
  <c r="AP31" i="1"/>
  <c r="AB30" i="2"/>
  <c r="S30" i="2"/>
  <c r="E29" i="2"/>
  <c r="AG28" i="1" s="1"/>
  <c r="F253" i="8"/>
  <c r="BB24" i="1"/>
  <c r="BB22" i="1"/>
  <c r="M31" i="1"/>
  <c r="F31" i="1"/>
  <c r="F15" i="1"/>
  <c r="F25" i="1"/>
  <c r="AI11" i="1"/>
  <c r="AR60" i="1"/>
  <c r="F28" i="1"/>
  <c r="AT13" i="6"/>
  <c r="FY12" i="17" s="1"/>
  <c r="BF25" i="6"/>
  <c r="HU24" i="17" s="1"/>
  <c r="AP22" i="6"/>
  <c r="FI21" i="17" s="1"/>
  <c r="AR57" i="1"/>
  <c r="BB27" i="1"/>
  <c r="BB13" i="1"/>
  <c r="BB15" i="1"/>
  <c r="BY33" i="6"/>
  <c r="AR47" i="1"/>
  <c r="AY33" i="3"/>
  <c r="AY38" i="3" s="1"/>
  <c r="AI33" i="3"/>
  <c r="AI38" i="3" s="1"/>
  <c r="F101" i="8" s="1"/>
  <c r="Y33" i="3"/>
  <c r="Y38" i="3" s="1"/>
  <c r="Y40" i="3" s="1"/>
  <c r="M33" i="3"/>
  <c r="M38" i="3" s="1"/>
  <c r="M40" i="3" s="1"/>
  <c r="G26" i="4"/>
  <c r="W36" i="3"/>
  <c r="W38" i="3" s="1"/>
  <c r="AL32" i="5"/>
  <c r="V32" i="5"/>
  <c r="H32" i="5"/>
  <c r="F92" i="8"/>
  <c r="F93" i="8" s="1"/>
  <c r="F95" i="8"/>
  <c r="E33" i="2"/>
  <c r="AG32" i="1" s="1"/>
  <c r="E28" i="2"/>
  <c r="AG27" i="1" s="1"/>
  <c r="E13" i="2"/>
  <c r="AG12" i="1" s="1"/>
  <c r="E12" i="2"/>
  <c r="AG11" i="1" s="1"/>
  <c r="BF20" i="6"/>
  <c r="HU19" i="17" s="1"/>
  <c r="AB34" i="2"/>
  <c r="CJ34" i="2"/>
  <c r="E17" i="2"/>
  <c r="AG16" i="1" s="1"/>
  <c r="E16" i="2"/>
  <c r="AG15" i="1" s="1"/>
  <c r="E15" i="2"/>
  <c r="AG14" i="1" s="1"/>
  <c r="E14" i="2"/>
  <c r="AG13" i="1" s="1"/>
  <c r="AE12" i="2"/>
  <c r="F17" i="1"/>
  <c r="AP31" i="6"/>
  <c r="FI30" i="17" s="1"/>
  <c r="FJ30" i="17" s="1"/>
  <c r="DU34" i="2"/>
  <c r="AF34" i="2"/>
  <c r="E27" i="2"/>
  <c r="AG26" i="1" s="1"/>
  <c r="E25" i="2"/>
  <c r="AG24" i="1" s="1"/>
  <c r="E23" i="2"/>
  <c r="AG22" i="1" s="1"/>
  <c r="E21" i="2"/>
  <c r="AG20" i="1" s="1"/>
  <c r="E20" i="2"/>
  <c r="AG19" i="1" s="1"/>
  <c r="E19" i="2"/>
  <c r="AG18" i="1" s="1"/>
  <c r="AF12" i="2"/>
  <c r="AN33" i="3"/>
  <c r="J33" i="3"/>
  <c r="E315" i="8" s="1"/>
  <c r="BB19" i="1"/>
  <c r="BU29" i="6"/>
  <c r="BY29" i="6"/>
  <c r="AW29" i="1"/>
  <c r="AW36" i="1" s="1"/>
  <c r="W22" i="1"/>
  <c r="W12" i="1"/>
  <c r="D33" i="3"/>
  <c r="D38" i="3" s="1"/>
  <c r="E391" i="8" s="1"/>
  <c r="E387" i="8" s="1"/>
  <c r="F21" i="1"/>
  <c r="F31" i="5"/>
  <c r="CW30" i="2"/>
  <c r="BT12" i="6"/>
  <c r="AP20" i="6"/>
  <c r="FI19" i="17" s="1"/>
  <c r="AT22" i="6"/>
  <c r="FY21" i="17" s="1"/>
  <c r="A3" i="11"/>
  <c r="PW34" i="2"/>
  <c r="AP14" i="6"/>
  <c r="FI13" i="17" s="1"/>
  <c r="BF13" i="6"/>
  <c r="HU12" i="17" s="1"/>
  <c r="F20" i="1"/>
  <c r="F19" i="1"/>
  <c r="AH30" i="3"/>
  <c r="AH33" i="3" s="1"/>
  <c r="AH38" i="3" s="1"/>
  <c r="E101" i="8" s="1"/>
  <c r="H30" i="3"/>
  <c r="H44" i="3" s="1"/>
  <c r="BB26" i="3"/>
  <c r="BB33" i="3" s="1"/>
  <c r="BT26" i="4"/>
  <c r="BD26" i="4"/>
  <c r="AN36" i="3" s="1"/>
  <c r="AJ26" i="4"/>
  <c r="AV26" i="4"/>
  <c r="AF26" i="4"/>
  <c r="Z36" i="3" s="1"/>
  <c r="AL28" i="5"/>
  <c r="V28" i="5"/>
  <c r="H28" i="5"/>
  <c r="R28" i="5"/>
  <c r="L28" i="5"/>
  <c r="D31" i="5"/>
  <c r="D32" i="5"/>
  <c r="L26" i="3"/>
  <c r="L30" i="3"/>
  <c r="DN30" i="2"/>
  <c r="DN37" i="2" s="1"/>
  <c r="E232" i="8" s="1"/>
  <c r="P33" i="3"/>
  <c r="W13" i="1"/>
  <c r="BT20" i="6"/>
  <c r="X33" i="3"/>
  <c r="X38" i="3" s="1"/>
  <c r="E15" i="8" s="1"/>
  <c r="E16" i="8" s="1"/>
  <c r="BX32" i="6"/>
  <c r="BX16" i="6"/>
  <c r="AF28" i="5"/>
  <c r="F23" i="1"/>
  <c r="A3" i="8"/>
  <c r="BF31" i="6"/>
  <c r="HU30" i="17" s="1"/>
  <c r="W18" i="1"/>
  <c r="E86" i="8"/>
  <c r="IH30" i="2"/>
  <c r="P16" i="6"/>
  <c r="A3" i="13"/>
  <c r="BS34" i="2"/>
  <c r="H27" i="6"/>
  <c r="AC26" i="17" s="1"/>
  <c r="E83" i="8"/>
  <c r="DT30" i="2"/>
  <c r="DT37" i="2" s="1"/>
  <c r="E329" i="8" s="1"/>
  <c r="H15" i="6"/>
  <c r="AC14" i="17" s="1"/>
  <c r="H14" i="6"/>
  <c r="AC13" i="17" s="1"/>
  <c r="H13" i="6"/>
  <c r="AC12" i="17" s="1"/>
  <c r="DQ30" i="2"/>
  <c r="CS30" i="2"/>
  <c r="CS37" i="2" s="1"/>
  <c r="BM30" i="2"/>
  <c r="BM37" i="2" s="1"/>
  <c r="E95" i="8"/>
  <c r="BV33" i="6"/>
  <c r="P33" i="6"/>
  <c r="AP32" i="6"/>
  <c r="FI31" i="17" s="1"/>
  <c r="FJ31" i="17" s="1"/>
  <c r="E92" i="8"/>
  <c r="AT31" i="6"/>
  <c r="BF24" i="6"/>
  <c r="HU23" i="17" s="1"/>
  <c r="AT20" i="6"/>
  <c r="FY19" i="17" s="1"/>
  <c r="DC34" i="2"/>
  <c r="DM12" i="2"/>
  <c r="PV30" i="2"/>
  <c r="CW34" i="2"/>
  <c r="BX28" i="6"/>
  <c r="AW30" i="2"/>
  <c r="AW37" i="2" s="1"/>
  <c r="W15" i="1"/>
  <c r="W17" i="1"/>
  <c r="W20" i="1"/>
  <c r="II30" i="2"/>
  <c r="BV15" i="6"/>
  <c r="BV12" i="6"/>
  <c r="H34" i="2"/>
  <c r="BU34" i="2"/>
  <c r="BU37" i="2" s="1"/>
  <c r="BV21" i="6"/>
  <c r="CU12" i="2"/>
  <c r="AP15" i="6"/>
  <c r="FI14" i="17" s="1"/>
  <c r="DA34" i="2"/>
  <c r="AD33" i="3"/>
  <c r="AX12" i="6"/>
  <c r="B44" i="7"/>
  <c r="D28" i="5"/>
  <c r="W23" i="1"/>
  <c r="AP19" i="6"/>
  <c r="FI18" i="17" s="1"/>
  <c r="N31" i="6"/>
  <c r="AL30" i="2"/>
  <c r="W25" i="1"/>
  <c r="W28" i="1"/>
  <c r="CB33" i="6"/>
  <c r="BL30" i="2"/>
  <c r="BL37" i="2" s="1"/>
  <c r="AV60" i="2" s="1"/>
  <c r="BF12" i="6"/>
  <c r="HU11" i="17" s="1"/>
  <c r="AT19" i="6"/>
  <c r="FY18" i="17" s="1"/>
  <c r="AP26" i="6"/>
  <c r="FI25" i="17" s="1"/>
  <c r="BF28" i="6"/>
  <c r="HU27" i="17" s="1"/>
  <c r="CU34" i="2"/>
  <c r="BF23" i="6"/>
  <c r="HU22" i="17" s="1"/>
  <c r="W11" i="1"/>
  <c r="BT31" i="6"/>
  <c r="BT33" i="6" s="1"/>
  <c r="W19" i="1"/>
  <c r="BP33" i="6"/>
  <c r="II34" i="2"/>
  <c r="CB29" i="6"/>
  <c r="W24" i="1"/>
  <c r="W27" i="1"/>
  <c r="AY11" i="1"/>
  <c r="G29" i="1"/>
  <c r="F8" i="11"/>
  <c r="F44" i="11" s="1"/>
  <c r="M32" i="1"/>
  <c r="G33" i="1"/>
  <c r="F89" i="8"/>
  <c r="F90" i="8" s="1"/>
  <c r="F91" i="8" s="1"/>
  <c r="C32" i="7"/>
  <c r="AK29" i="1"/>
  <c r="AK33" i="1"/>
  <c r="F86" i="8"/>
  <c r="BH29" i="1"/>
  <c r="BH36" i="1" s="1"/>
  <c r="BH37" i="1" s="1"/>
  <c r="E24" i="2"/>
  <c r="AG23" i="1" s="1"/>
  <c r="K33" i="3"/>
  <c r="F315" i="8" s="1"/>
  <c r="AS27" i="1"/>
  <c r="AS26" i="1"/>
  <c r="AS24" i="1"/>
  <c r="AS23" i="1"/>
  <c r="AS22" i="1"/>
  <c r="AQ33" i="3"/>
  <c r="AQ38" i="3" s="1"/>
  <c r="F48" i="8" s="1"/>
  <c r="F51" i="8" s="1"/>
  <c r="AS20" i="1"/>
  <c r="AS13" i="1"/>
  <c r="BC33" i="6"/>
  <c r="AA38" i="3"/>
  <c r="AA40" i="3" s="1"/>
  <c r="E33" i="3"/>
  <c r="E38" i="3" s="1"/>
  <c r="F391" i="8" s="1"/>
  <c r="F387" i="8" s="1"/>
  <c r="F98" i="8"/>
  <c r="F100" i="8" s="1"/>
  <c r="AE38" i="3"/>
  <c r="F443" i="8" s="1"/>
  <c r="AP24" i="1"/>
  <c r="BF21" i="6"/>
  <c r="HU20" i="17" s="1"/>
  <c r="BX20" i="6"/>
  <c r="IG12" i="2"/>
  <c r="AB32" i="5"/>
  <c r="W26" i="1"/>
  <c r="Q29" i="1"/>
  <c r="Q36" i="1" s="1"/>
  <c r="J34" i="2"/>
  <c r="AH26" i="4"/>
  <c r="AO34" i="2"/>
  <c r="AO55" i="2" s="1"/>
  <c r="AK55" i="2" s="1"/>
  <c r="BD29" i="6"/>
  <c r="BZ13" i="6"/>
  <c r="BX31" i="6"/>
  <c r="DS30" i="2"/>
  <c r="DS37" i="2" s="1"/>
  <c r="E206" i="8" s="1"/>
  <c r="AN33" i="6"/>
  <c r="BB29" i="6"/>
  <c r="AT24" i="6"/>
  <c r="FY23" i="17" s="1"/>
  <c r="AX34" i="2"/>
  <c r="AH32" i="5"/>
  <c r="L32" i="5"/>
  <c r="AG30" i="2"/>
  <c r="AG37" i="2" s="1"/>
  <c r="H17" i="6"/>
  <c r="AC16" i="17" s="1"/>
  <c r="BF17" i="6"/>
  <c r="HU16" i="17" s="1"/>
  <c r="AT11" i="6"/>
  <c r="FY10" i="17" s="1"/>
  <c r="V34" i="2"/>
  <c r="AP25" i="6"/>
  <c r="FI24" i="17" s="1"/>
  <c r="N57" i="1"/>
  <c r="H21" i="6"/>
  <c r="AC20" i="17" s="1"/>
  <c r="BE12" i="2"/>
  <c r="BF27" i="6"/>
  <c r="HU26" i="17" s="1"/>
  <c r="AT25" i="6"/>
  <c r="FY24" i="17" s="1"/>
  <c r="AT15" i="6"/>
  <c r="FY14" i="17" s="1"/>
  <c r="AP16" i="6"/>
  <c r="FI15" i="17" s="1"/>
  <c r="AD32" i="5"/>
  <c r="IH34" i="2"/>
  <c r="H31" i="6"/>
  <c r="CQ34" i="2"/>
  <c r="CQ55" i="2" s="1"/>
  <c r="PW30" i="2"/>
  <c r="AM30" i="2"/>
  <c r="AM37" i="2" s="1"/>
  <c r="H12" i="6"/>
  <c r="AC11" i="17" s="1"/>
  <c r="CQ30" i="2"/>
  <c r="CQ54" i="2" s="1"/>
  <c r="DQ34" i="2"/>
  <c r="AX30" i="2"/>
  <c r="AO30" i="2"/>
  <c r="AO54" i="2" s="1"/>
  <c r="H23" i="6"/>
  <c r="AC22" i="17" s="1"/>
  <c r="AX31" i="6"/>
  <c r="CB26" i="4"/>
  <c r="BB36" i="3" s="1"/>
  <c r="BB32" i="6"/>
  <c r="T34" i="2"/>
  <c r="E250" i="8"/>
  <c r="AT12" i="6"/>
  <c r="FY11" i="17" s="1"/>
  <c r="BP26" i="4"/>
  <c r="AX36" i="3" s="1"/>
  <c r="BH26" i="4"/>
  <c r="AD26" i="4"/>
  <c r="V30" i="2"/>
  <c r="BF32" i="6"/>
  <c r="HU31" i="17" s="1"/>
  <c r="HV31" i="17" s="1"/>
  <c r="P34" i="2"/>
  <c r="R34" i="2"/>
  <c r="N15" i="6"/>
  <c r="DR30" i="2"/>
  <c r="DR37" i="2" s="1"/>
  <c r="B10" i="7" s="1"/>
  <c r="E8" i="11"/>
  <c r="AD28" i="5"/>
  <c r="AD31" i="5"/>
  <c r="BN30" i="2"/>
  <c r="BN37" i="2" s="1"/>
  <c r="AX60" i="2" s="1"/>
  <c r="CF26" i="4"/>
  <c r="R26" i="4"/>
  <c r="AH31" i="5"/>
  <c r="R31" i="5"/>
  <c r="L31" i="5"/>
  <c r="AL31" i="5"/>
  <c r="V31" i="5"/>
  <c r="H31" i="5"/>
  <c r="R31" i="17" l="1"/>
  <c r="G31" i="17" s="1"/>
  <c r="F31" i="17" s="1"/>
  <c r="F209" i="8"/>
  <c r="F210" i="8" s="1"/>
  <c r="DY42" i="2"/>
  <c r="C10" i="7"/>
  <c r="DZ42" i="2"/>
  <c r="R30" i="17"/>
  <c r="G30" i="17" s="1"/>
  <c r="F30" i="17" s="1"/>
  <c r="Q19" i="17"/>
  <c r="L19" i="17" s="1"/>
  <c r="Q12" i="17"/>
  <c r="L12" i="17" s="1"/>
  <c r="Q13" i="17"/>
  <c r="L13" i="17" s="1"/>
  <c r="Q30" i="17"/>
  <c r="L30" i="17" s="1"/>
  <c r="Q14" i="17"/>
  <c r="Q31" i="17"/>
  <c r="Q15" i="17"/>
  <c r="L15" i="17" s="1"/>
  <c r="Q24" i="17"/>
  <c r="L24" i="17" s="1"/>
  <c r="Q25" i="17"/>
  <c r="L25" i="17" s="1"/>
  <c r="Q10" i="17"/>
  <c r="Q26" i="17"/>
  <c r="L26" i="17" s="1"/>
  <c r="R20" i="17"/>
  <c r="G20" i="17" s="1"/>
  <c r="F20" i="17" s="1"/>
  <c r="Q20" i="17"/>
  <c r="L20" i="17" s="1"/>
  <c r="Q21" i="17"/>
  <c r="L21" i="17" s="1"/>
  <c r="Q22" i="17"/>
  <c r="L22" i="17" s="1"/>
  <c r="Q23" i="17"/>
  <c r="L23" i="17" s="1"/>
  <c r="Q16" i="17"/>
  <c r="L16" i="17" s="1"/>
  <c r="Q18" i="17"/>
  <c r="L18" i="17" s="1"/>
  <c r="G10" i="17"/>
  <c r="G18" i="17"/>
  <c r="F18" i="17" s="1"/>
  <c r="G26" i="17"/>
  <c r="F26" i="17" s="1"/>
  <c r="C20" i="17"/>
  <c r="G15" i="17"/>
  <c r="F15" i="17" s="1"/>
  <c r="C13" i="17"/>
  <c r="G16" i="17"/>
  <c r="F16" i="17" s="1"/>
  <c r="G24" i="17"/>
  <c r="F24" i="17" s="1"/>
  <c r="G13" i="17"/>
  <c r="F13" i="17" s="1"/>
  <c r="C21" i="17"/>
  <c r="C25" i="17"/>
  <c r="C24" i="17"/>
  <c r="C22" i="17"/>
  <c r="G14" i="17"/>
  <c r="F14" i="17" s="1"/>
  <c r="G22" i="17"/>
  <c r="F22" i="17" s="1"/>
  <c r="C19" i="17"/>
  <c r="C23" i="17"/>
  <c r="G11" i="17"/>
  <c r="G19" i="17"/>
  <c r="F19" i="17" s="1"/>
  <c r="C16" i="17"/>
  <c r="C18" i="17"/>
  <c r="G27" i="17"/>
  <c r="C26" i="17"/>
  <c r="C27" i="17"/>
  <c r="BF32" i="17"/>
  <c r="H10" i="17"/>
  <c r="BE32" i="17"/>
  <c r="L10" i="17"/>
  <c r="AL29" i="6"/>
  <c r="AL36" i="6" s="1"/>
  <c r="BF28" i="17"/>
  <c r="BA30" i="17"/>
  <c r="BB30" i="17" s="1"/>
  <c r="BB32" i="17" s="1"/>
  <c r="D31" i="6"/>
  <c r="DG31" i="6" s="1"/>
  <c r="BA14" i="17"/>
  <c r="BA28" i="17" s="1"/>
  <c r="BE28" i="17"/>
  <c r="L14" i="17"/>
  <c r="D32" i="6"/>
  <c r="GT35" i="17"/>
  <c r="BM36" i="17"/>
  <c r="HM35" i="17"/>
  <c r="HM36" i="17" s="1"/>
  <c r="J29" i="6"/>
  <c r="J36" i="6" s="1"/>
  <c r="AE10" i="17"/>
  <c r="HY35" i="17"/>
  <c r="HY36" i="17" s="1"/>
  <c r="GC35" i="17"/>
  <c r="GC36" i="17" s="1"/>
  <c r="AH32" i="17"/>
  <c r="AH35" i="17" s="1"/>
  <c r="HU28" i="17"/>
  <c r="GS35" i="17"/>
  <c r="HV30" i="17"/>
  <c r="HV32" i="17" s="1"/>
  <c r="HV35" i="17" s="1"/>
  <c r="HU32" i="17"/>
  <c r="FJ32" i="17"/>
  <c r="FJ35" i="17" s="1"/>
  <c r="FI32" i="17"/>
  <c r="BB33" i="6"/>
  <c r="BB36" i="6" s="1"/>
  <c r="HE31" i="17"/>
  <c r="M31" i="17" s="1"/>
  <c r="AX33" i="6"/>
  <c r="GO30" i="17"/>
  <c r="AX29" i="6"/>
  <c r="GO11" i="17"/>
  <c r="AT33" i="6"/>
  <c r="FY30" i="17"/>
  <c r="FY28" i="17"/>
  <c r="HI35" i="17"/>
  <c r="HI36" i="17" s="1"/>
  <c r="P29" i="6"/>
  <c r="P36" i="6" s="1"/>
  <c r="BI15" i="17"/>
  <c r="BJ15" i="17" s="1"/>
  <c r="N15" i="17" s="1"/>
  <c r="HQ35" i="17"/>
  <c r="HQ36" i="17" s="1"/>
  <c r="AG35" i="17"/>
  <c r="D72" i="8"/>
  <c r="AJ29" i="6"/>
  <c r="AJ36" i="6" s="1"/>
  <c r="F51" i="11"/>
  <c r="F436" i="8"/>
  <c r="F444" i="8"/>
  <c r="F437" i="8" s="1"/>
  <c r="AC28" i="17"/>
  <c r="H33" i="6"/>
  <c r="AC30" i="17"/>
  <c r="I385" i="8"/>
  <c r="G381" i="8"/>
  <c r="D43" i="8"/>
  <c r="D230" i="8"/>
  <c r="D478" i="8"/>
  <c r="G49" i="8"/>
  <c r="I49" i="8" s="1"/>
  <c r="F97" i="8"/>
  <c r="D158" i="8"/>
  <c r="CR60" i="2"/>
  <c r="CR56" i="2"/>
  <c r="CQ56" i="2"/>
  <c r="F15" i="8"/>
  <c r="F16" i="8" s="1"/>
  <c r="F102" i="8"/>
  <c r="BC12" i="2"/>
  <c r="DM30" i="2"/>
  <c r="DM54" i="2" s="1"/>
  <c r="AY60" i="2"/>
  <c r="AY59" i="2"/>
  <c r="AP53" i="2"/>
  <c r="AU60" i="2"/>
  <c r="PY38" i="2"/>
  <c r="F148" i="8" s="1"/>
  <c r="C69" i="1"/>
  <c r="S37" i="2"/>
  <c r="L70" i="1"/>
  <c r="C70" i="1" s="1"/>
  <c r="J79" i="1"/>
  <c r="G41" i="2"/>
  <c r="J68" i="1"/>
  <c r="J71" i="1" s="1"/>
  <c r="CL30" i="2"/>
  <c r="CL37" i="2" s="1"/>
  <c r="CJ12" i="2"/>
  <c r="CJ30" i="2" s="1"/>
  <c r="CJ37" i="2" s="1"/>
  <c r="CC36" i="6"/>
  <c r="IK42" i="2"/>
  <c r="F275" i="8"/>
  <c r="AI26" i="1"/>
  <c r="AI28" i="1"/>
  <c r="AI22" i="1"/>
  <c r="AI13" i="1"/>
  <c r="AI19" i="1"/>
  <c r="AI16" i="1"/>
  <c r="AI25" i="1"/>
  <c r="AI15" i="1"/>
  <c r="AI21" i="1"/>
  <c r="AI27" i="1"/>
  <c r="AI24" i="1"/>
  <c r="AI14" i="1"/>
  <c r="AI20" i="1"/>
  <c r="AI31" i="1"/>
  <c r="C46" i="7"/>
  <c r="C47" i="7"/>
  <c r="AZ56" i="2"/>
  <c r="W37" i="2"/>
  <c r="EB42" i="2"/>
  <c r="E34" i="2"/>
  <c r="E44" i="2" s="1"/>
  <c r="BW38" i="2"/>
  <c r="AR45" i="1"/>
  <c r="O36" i="6"/>
  <c r="CR38" i="2"/>
  <c r="F117" i="8" s="1"/>
  <c r="AR44" i="1"/>
  <c r="H505" i="8"/>
  <c r="F45" i="8"/>
  <c r="F40" i="8" s="1"/>
  <c r="AQ38" i="2"/>
  <c r="AQ42" i="2" s="1"/>
  <c r="E276" i="8"/>
  <c r="E279" i="8" s="1"/>
  <c r="B21" i="7"/>
  <c r="C42" i="3"/>
  <c r="AM17" i="1"/>
  <c r="C35" i="7"/>
  <c r="C27" i="6"/>
  <c r="D499" i="8"/>
  <c r="AR38" i="2"/>
  <c r="AR42" i="2" s="1"/>
  <c r="BY38" i="2"/>
  <c r="F60" i="8" s="1"/>
  <c r="N33" i="6"/>
  <c r="O38" i="2"/>
  <c r="CZ38" i="2"/>
  <c r="CZ53" i="2" s="1"/>
  <c r="CZ57" i="2" s="1"/>
  <c r="BC36" i="6"/>
  <c r="H83" i="8"/>
  <c r="BB56" i="2"/>
  <c r="BB53" i="2"/>
  <c r="PZ38" i="2"/>
  <c r="I2" i="5"/>
  <c r="I2" i="3"/>
  <c r="C45" i="7"/>
  <c r="PV37" i="2"/>
  <c r="AL37" i="2"/>
  <c r="AL53" i="2" s="1"/>
  <c r="AL54" i="2"/>
  <c r="CA53" i="2"/>
  <c r="CA56" i="2"/>
  <c r="BX38" i="2"/>
  <c r="BX42" i="2" s="1"/>
  <c r="CE53" i="2"/>
  <c r="CE56" i="2"/>
  <c r="DU37" i="2"/>
  <c r="DU53" i="2" s="1"/>
  <c r="DU55" i="2"/>
  <c r="C55" i="2" s="1"/>
  <c r="IJ37" i="2"/>
  <c r="IJ53" i="2" s="1"/>
  <c r="IJ54" i="2"/>
  <c r="C54" i="2" s="1"/>
  <c r="CZ61" i="2"/>
  <c r="AM14" i="1"/>
  <c r="AM15" i="1"/>
  <c r="Z38" i="3"/>
  <c r="E24" i="8" s="1"/>
  <c r="BQ36" i="6"/>
  <c r="AO36" i="6"/>
  <c r="I36" i="6"/>
  <c r="C39" i="6" s="1"/>
  <c r="F212" i="8"/>
  <c r="F213" i="8" s="1"/>
  <c r="BW36" i="6"/>
  <c r="C26" i="7"/>
  <c r="F353" i="8"/>
  <c r="F354" i="8" s="1"/>
  <c r="E392" i="8"/>
  <c r="E388" i="8" s="1"/>
  <c r="H504" i="8"/>
  <c r="IL42" i="2"/>
  <c r="AT38" i="2"/>
  <c r="F145" i="8" s="1"/>
  <c r="G38" i="2"/>
  <c r="D10" i="15" s="1"/>
  <c r="E46" i="2"/>
  <c r="Q36" i="6"/>
  <c r="EA42" i="2"/>
  <c r="F232" i="8"/>
  <c r="F233" i="8" s="1"/>
  <c r="E47" i="2"/>
  <c r="BE37" i="1" s="1"/>
  <c r="BA29" i="1"/>
  <c r="BA36" i="1" s="1"/>
  <c r="L77" i="1" s="1"/>
  <c r="AF30" i="2"/>
  <c r="AF37" i="2" s="1"/>
  <c r="BB12" i="1"/>
  <c r="X20" i="1"/>
  <c r="AP25" i="1"/>
  <c r="BB20" i="1"/>
  <c r="X25" i="1"/>
  <c r="X12" i="1"/>
  <c r="BB23" i="1"/>
  <c r="BB18" i="1"/>
  <c r="BB26" i="1"/>
  <c r="X26" i="1"/>
  <c r="BB14" i="1"/>
  <c r="BB21" i="1"/>
  <c r="BB28" i="1"/>
  <c r="AY20" i="1"/>
  <c r="AY24" i="1"/>
  <c r="AM18" i="1"/>
  <c r="AM21" i="1"/>
  <c r="AY13" i="1"/>
  <c r="AY23" i="1"/>
  <c r="AY22" i="1"/>
  <c r="AY27" i="1"/>
  <c r="AM12" i="1"/>
  <c r="AY26" i="1"/>
  <c r="AI40" i="3"/>
  <c r="C21" i="7"/>
  <c r="C50" i="7"/>
  <c r="H101" i="8"/>
  <c r="AR55" i="1"/>
  <c r="F188" i="8"/>
  <c r="F191" i="8" s="1"/>
  <c r="AY40" i="3"/>
  <c r="C44" i="7"/>
  <c r="F276" i="8"/>
  <c r="F279" i="8" s="1"/>
  <c r="BD36" i="6"/>
  <c r="BS33" i="6"/>
  <c r="DD33" i="6" s="1"/>
  <c r="BE36" i="6"/>
  <c r="C19" i="6"/>
  <c r="AU36" i="6"/>
  <c r="AO11" i="1"/>
  <c r="CA36" i="6"/>
  <c r="G101" i="8"/>
  <c r="PW37" i="2"/>
  <c r="E102" i="8"/>
  <c r="BU36" i="6"/>
  <c r="AY36" i="6"/>
  <c r="C14" i="6"/>
  <c r="CK33" i="6"/>
  <c r="CG36" i="6"/>
  <c r="C26" i="6"/>
  <c r="I224" i="8"/>
  <c r="K38" i="3"/>
  <c r="K40" i="3" s="1"/>
  <c r="C49" i="7"/>
  <c r="J38" i="3"/>
  <c r="AX37" i="2"/>
  <c r="AN38" i="3"/>
  <c r="E45" i="8" s="1"/>
  <c r="C17" i="6"/>
  <c r="C21" i="6"/>
  <c r="C32" i="6"/>
  <c r="AJ26" i="1"/>
  <c r="AJ12" i="1"/>
  <c r="AJ20" i="1"/>
  <c r="AJ32" i="1"/>
  <c r="AJ19" i="1"/>
  <c r="AJ17" i="1"/>
  <c r="AJ16" i="1"/>
  <c r="AJ15" i="1"/>
  <c r="C22" i="6"/>
  <c r="C13" i="6"/>
  <c r="C25" i="6"/>
  <c r="BG36" i="6"/>
  <c r="AJ13" i="1"/>
  <c r="AJ27" i="1"/>
  <c r="AJ22" i="1"/>
  <c r="AJ23" i="1"/>
  <c r="AJ28" i="1"/>
  <c r="E40" i="3"/>
  <c r="CW37" i="2"/>
  <c r="C23" i="7"/>
  <c r="G391" i="8"/>
  <c r="DQ37" i="2"/>
  <c r="E209" i="8" s="1"/>
  <c r="F318" i="8"/>
  <c r="F319" i="8" s="1"/>
  <c r="IH37" i="2"/>
  <c r="E350" i="8" s="1"/>
  <c r="AQ40" i="3"/>
  <c r="F241" i="8"/>
  <c r="I38" i="3"/>
  <c r="I40" i="3" s="1"/>
  <c r="F250" i="8"/>
  <c r="L33" i="3"/>
  <c r="L38" i="3" s="1"/>
  <c r="E318" i="8" s="1"/>
  <c r="E311" i="8" s="1"/>
  <c r="C16" i="6"/>
  <c r="BS29" i="6"/>
  <c r="DD29" i="6" s="1"/>
  <c r="C23" i="6"/>
  <c r="AM16" i="1"/>
  <c r="C20" i="6"/>
  <c r="E33" i="6"/>
  <c r="E272" i="8"/>
  <c r="AM19" i="1"/>
  <c r="BY36" i="6"/>
  <c r="AP14" i="1"/>
  <c r="AB37" i="2"/>
  <c r="AR41" i="1" s="1"/>
  <c r="C11" i="6"/>
  <c r="BB25" i="1"/>
  <c r="AQ33" i="1"/>
  <c r="CB36" i="6"/>
  <c r="AM25" i="1"/>
  <c r="AM28" i="1"/>
  <c r="V37" i="2"/>
  <c r="BC29" i="1"/>
  <c r="BC36" i="1" s="1"/>
  <c r="M33" i="1"/>
  <c r="H95" i="8"/>
  <c r="E97" i="8"/>
  <c r="G95" i="8"/>
  <c r="E85" i="8"/>
  <c r="C15" i="6"/>
  <c r="H329" i="8"/>
  <c r="G329" i="8"/>
  <c r="I329" i="8" s="1"/>
  <c r="E330" i="8"/>
  <c r="G331" i="8" s="1"/>
  <c r="I331" i="8" s="1"/>
  <c r="C17" i="7"/>
  <c r="AP33" i="6"/>
  <c r="L25" i="1"/>
  <c r="F254" i="8"/>
  <c r="B46" i="7"/>
  <c r="BX29" i="6"/>
  <c r="E338" i="8"/>
  <c r="E339" i="8" s="1"/>
  <c r="AP21" i="1"/>
  <c r="X17" i="1"/>
  <c r="AP18" i="1"/>
  <c r="E253" i="8"/>
  <c r="E66" i="8"/>
  <c r="E68" i="8" s="1"/>
  <c r="D19" i="16" s="1"/>
  <c r="F14" i="1"/>
  <c r="F27" i="1"/>
  <c r="BB11" i="1"/>
  <c r="AP11" i="1"/>
  <c r="F13" i="1"/>
  <c r="BB17" i="1"/>
  <c r="F12" i="1"/>
  <c r="F26" i="1"/>
  <c r="Y29" i="1"/>
  <c r="Y36" i="1" s="1"/>
  <c r="F168" i="8"/>
  <c r="F171" i="8" s="1"/>
  <c r="B32" i="7"/>
  <c r="AM32" i="1"/>
  <c r="L23" i="1"/>
  <c r="C31" i="6"/>
  <c r="BT29" i="6"/>
  <c r="BT36" i="6" s="1"/>
  <c r="H391" i="8"/>
  <c r="F24" i="8"/>
  <c r="F338" i="8"/>
  <c r="F339" i="8" s="1"/>
  <c r="AI18" i="1"/>
  <c r="AI17" i="1"/>
  <c r="AE40" i="3"/>
  <c r="AM24" i="1"/>
  <c r="G15" i="8"/>
  <c r="I15" i="8" s="1"/>
  <c r="G83" i="8"/>
  <c r="I83" i="8" s="1"/>
  <c r="L20" i="1"/>
  <c r="AI23" i="1"/>
  <c r="H86" i="8"/>
  <c r="C24" i="6"/>
  <c r="AM23" i="1"/>
  <c r="H92" i="8"/>
  <c r="G92" i="8"/>
  <c r="I92" i="8" s="1"/>
  <c r="G315" i="8"/>
  <c r="E316" i="8"/>
  <c r="AE34" i="2"/>
  <c r="L21" i="1"/>
  <c r="E233" i="8"/>
  <c r="L15" i="1"/>
  <c r="BV29" i="6"/>
  <c r="BV36" i="6" s="1"/>
  <c r="E87" i="8"/>
  <c r="H33" i="3"/>
  <c r="E241" i="8" s="1"/>
  <c r="DM34" i="2"/>
  <c r="G232" i="8"/>
  <c r="X19" i="1"/>
  <c r="G86" i="8"/>
  <c r="G87" i="8" s="1"/>
  <c r="L19" i="1"/>
  <c r="X21" i="1"/>
  <c r="AN29" i="6"/>
  <c r="AN36" i="6" s="1"/>
  <c r="X13" i="1"/>
  <c r="L31" i="1"/>
  <c r="MO38" i="2"/>
  <c r="AO37" i="2"/>
  <c r="AO53" i="2" s="1"/>
  <c r="BF29" i="6"/>
  <c r="E93" i="8"/>
  <c r="H93" i="8" s="1"/>
  <c r="X27" i="1"/>
  <c r="X23" i="1"/>
  <c r="N44" i="1"/>
  <c r="X28" i="1"/>
  <c r="B49" i="7"/>
  <c r="L17" i="1"/>
  <c r="BB38" i="3"/>
  <c r="E36" i="8" s="1"/>
  <c r="G36" i="8" s="1"/>
  <c r="I36" i="8" s="1"/>
  <c r="L28" i="1"/>
  <c r="W29" i="1"/>
  <c r="W36" i="1" s="1"/>
  <c r="K77" i="1" s="1"/>
  <c r="II37" i="2"/>
  <c r="B26" i="7" s="1"/>
  <c r="AM27" i="1"/>
  <c r="AM13" i="1"/>
  <c r="AK36" i="1"/>
  <c r="AM22" i="1"/>
  <c r="AG29" i="1"/>
  <c r="AM11" i="1"/>
  <c r="CD26" i="4"/>
  <c r="F36" i="8"/>
  <c r="AM20" i="1"/>
  <c r="BB16" i="1"/>
  <c r="AV29" i="1"/>
  <c r="AV36" i="1" s="1"/>
  <c r="F87" i="8"/>
  <c r="AM31" i="1"/>
  <c r="AG33" i="1"/>
  <c r="AM26" i="1"/>
  <c r="E30" i="2"/>
  <c r="G36" i="1"/>
  <c r="AS29" i="1"/>
  <c r="AS36" i="1" s="1"/>
  <c r="AQ29" i="1"/>
  <c r="M29" i="1"/>
  <c r="H315" i="8"/>
  <c r="F316" i="8"/>
  <c r="AI12" i="1"/>
  <c r="AI32" i="1"/>
  <c r="H294" i="8"/>
  <c r="F392" i="8"/>
  <c r="F388" i="8" s="1"/>
  <c r="E207" i="8"/>
  <c r="H207" i="8" s="1"/>
  <c r="G206" i="8"/>
  <c r="G207" i="8" s="1"/>
  <c r="I207" i="8" s="1"/>
  <c r="H206" i="8"/>
  <c r="IG34" i="2"/>
  <c r="IG55" i="2" s="1"/>
  <c r="BP29" i="6"/>
  <c r="BP36" i="6" s="1"/>
  <c r="F22" i="1"/>
  <c r="IG30" i="2"/>
  <c r="IG54" i="2" s="1"/>
  <c r="BX33" i="6"/>
  <c r="BE30" i="2"/>
  <c r="BE37" i="2" s="1"/>
  <c r="AD29" i="1"/>
  <c r="AD36" i="1" s="1"/>
  <c r="AD37" i="1" s="1"/>
  <c r="X15" i="1"/>
  <c r="BR26" i="4"/>
  <c r="AZ38" i="3" s="1"/>
  <c r="E141" i="8" s="1"/>
  <c r="E144" i="8" s="1"/>
  <c r="CU30" i="2"/>
  <c r="CU37" i="2" s="1"/>
  <c r="CQ59" i="2" s="1"/>
  <c r="H29" i="6"/>
  <c r="F18" i="1"/>
  <c r="N29" i="6"/>
  <c r="BF26" i="4"/>
  <c r="CQ37" i="2"/>
  <c r="CQ38" i="2" s="1"/>
  <c r="E212" i="8"/>
  <c r="BF30" i="2"/>
  <c r="BF37" i="2" s="1"/>
  <c r="AX59" i="2" s="1"/>
  <c r="F16" i="1"/>
  <c r="BF33" i="6"/>
  <c r="D8" i="11"/>
  <c r="D44" i="11" s="1"/>
  <c r="H10" i="11"/>
  <c r="F26" i="4"/>
  <c r="AT29" i="6"/>
  <c r="G16" i="8"/>
  <c r="N60" i="1"/>
  <c r="F24" i="1"/>
  <c r="E251" i="8"/>
  <c r="G250" i="8"/>
  <c r="R28" i="17" l="1"/>
  <c r="M30" i="17"/>
  <c r="Q32" i="17"/>
  <c r="L32" i="17" s="1"/>
  <c r="AE28" i="17"/>
  <c r="AE35" i="17" s="1"/>
  <c r="GS36" i="17"/>
  <c r="BA32" i="17"/>
  <c r="BA35" i="17" s="1"/>
  <c r="BF35" i="17"/>
  <c r="AT36" i="6"/>
  <c r="BE35" i="17"/>
  <c r="L31" i="17"/>
  <c r="F10" i="17"/>
  <c r="AX36" i="6"/>
  <c r="BB14" i="17"/>
  <c r="N14" i="17" s="1"/>
  <c r="F477" i="8"/>
  <c r="R32" i="17"/>
  <c r="G32" i="17"/>
  <c r="G28" i="17"/>
  <c r="C15" i="17"/>
  <c r="BJ28" i="17"/>
  <c r="BJ35" i="17" s="1"/>
  <c r="AG36" i="17"/>
  <c r="G85" i="8"/>
  <c r="D14" i="16"/>
  <c r="F227" i="8"/>
  <c r="HU35" i="17"/>
  <c r="HU36" i="17" s="1"/>
  <c r="GO28" i="17"/>
  <c r="GP11" i="17"/>
  <c r="N11" i="17" s="1"/>
  <c r="GO32" i="17"/>
  <c r="GP30" i="17"/>
  <c r="GP32" i="17" s="1"/>
  <c r="FY32" i="17"/>
  <c r="FY35" i="17" s="1"/>
  <c r="FZ30" i="17"/>
  <c r="FZ32" i="17" s="1"/>
  <c r="FZ35" i="17" s="1"/>
  <c r="AD30" i="17"/>
  <c r="HE32" i="17"/>
  <c r="HE35" i="17" s="1"/>
  <c r="HF31" i="17"/>
  <c r="N31" i="17" s="1"/>
  <c r="C31" i="17" s="1"/>
  <c r="BI28" i="17"/>
  <c r="BI35" i="17" s="1"/>
  <c r="D51" i="11"/>
  <c r="H36" i="6"/>
  <c r="DG32" i="6"/>
  <c r="K31" i="17"/>
  <c r="AC32" i="17"/>
  <c r="AC35" i="17" s="1"/>
  <c r="F8" i="8"/>
  <c r="C60" i="2"/>
  <c r="CR61" i="2"/>
  <c r="F150" i="8"/>
  <c r="F183" i="8"/>
  <c r="F184" i="8"/>
  <c r="F438" i="8"/>
  <c r="G144" i="8"/>
  <c r="I144" i="8" s="1"/>
  <c r="H144" i="8"/>
  <c r="I95" i="8"/>
  <c r="I87" i="8"/>
  <c r="E88" i="8"/>
  <c r="G88" i="8" s="1"/>
  <c r="I88" i="8" s="1"/>
  <c r="G97" i="8"/>
  <c r="F202" i="8"/>
  <c r="F201" i="8"/>
  <c r="CQ60" i="2"/>
  <c r="H16" i="8"/>
  <c r="H15" i="8"/>
  <c r="C52" i="7"/>
  <c r="I101" i="8"/>
  <c r="AY53" i="2"/>
  <c r="AY56" i="2"/>
  <c r="AK54" i="2"/>
  <c r="AK53" i="2"/>
  <c r="PW38" i="2"/>
  <c r="B38" i="7" s="1"/>
  <c r="PV38" i="2"/>
  <c r="E148" i="8" s="1"/>
  <c r="I79" i="1"/>
  <c r="AO31" i="1"/>
  <c r="AO14" i="1"/>
  <c r="AO27" i="1"/>
  <c r="AO15" i="1"/>
  <c r="AO16" i="1"/>
  <c r="AO13" i="1"/>
  <c r="AO28" i="1"/>
  <c r="AO25" i="1"/>
  <c r="AO19" i="1"/>
  <c r="G279" i="8"/>
  <c r="F312" i="8"/>
  <c r="AO20" i="1"/>
  <c r="AO21" i="1"/>
  <c r="AO26" i="1"/>
  <c r="AO22" i="1"/>
  <c r="AO24" i="1"/>
  <c r="F311" i="8"/>
  <c r="H311" i="8" s="1"/>
  <c r="F120" i="8"/>
  <c r="F122" i="8" s="1"/>
  <c r="E13" i="16" s="1"/>
  <c r="BY42" i="2"/>
  <c r="CZ42" i="2"/>
  <c r="CR53" i="2"/>
  <c r="AT42" i="2"/>
  <c r="CR41" i="2"/>
  <c r="C29" i="7"/>
  <c r="F332" i="8"/>
  <c r="F251" i="8"/>
  <c r="I232" i="8"/>
  <c r="G209" i="8"/>
  <c r="F61" i="8"/>
  <c r="F54" i="8" s="1"/>
  <c r="F46" i="8"/>
  <c r="F41" i="8" s="1"/>
  <c r="F43" i="8" s="1"/>
  <c r="F502" i="8"/>
  <c r="G276" i="8"/>
  <c r="I276" i="8" s="1"/>
  <c r="CQ53" i="2"/>
  <c r="B29" i="7"/>
  <c r="E168" i="8"/>
  <c r="B35" i="7"/>
  <c r="B50" i="7"/>
  <c r="DU57" i="2"/>
  <c r="F164" i="8"/>
  <c r="F155" i="8" s="1"/>
  <c r="F158" i="8" s="1"/>
  <c r="H68" i="8"/>
  <c r="F242" i="8"/>
  <c r="N36" i="6"/>
  <c r="H274" i="8"/>
  <c r="E275" i="8"/>
  <c r="I250" i="8"/>
  <c r="G141" i="8"/>
  <c r="I141" i="8" s="1"/>
  <c r="H141" i="8"/>
  <c r="G172" i="8"/>
  <c r="D484" i="8"/>
  <c r="D479" i="8"/>
  <c r="G24" i="8"/>
  <c r="G45" i="8"/>
  <c r="H234" i="8"/>
  <c r="H232" i="8"/>
  <c r="F151" i="8"/>
  <c r="F153" i="8" s="1"/>
  <c r="F476" i="8" s="1"/>
  <c r="C38" i="7"/>
  <c r="IJ57" i="2"/>
  <c r="F57" i="8"/>
  <c r="F53" i="8" s="1"/>
  <c r="G392" i="8"/>
  <c r="G409" i="8"/>
  <c r="G410" i="8" s="1"/>
  <c r="I410" i="8" s="1"/>
  <c r="F119" i="8"/>
  <c r="H406" i="8"/>
  <c r="AX53" i="2"/>
  <c r="AX56" i="2"/>
  <c r="CE57" i="2"/>
  <c r="CA61" i="2"/>
  <c r="CE61" i="2"/>
  <c r="DM37" i="2"/>
  <c r="DM53" i="2" s="1"/>
  <c r="DM55" i="2"/>
  <c r="CA57" i="2"/>
  <c r="E25" i="8"/>
  <c r="H24" i="8"/>
  <c r="H276" i="8"/>
  <c r="I391" i="8"/>
  <c r="E353" i="8"/>
  <c r="E354" i="8" s="1"/>
  <c r="H354" i="8" s="1"/>
  <c r="AY29" i="1"/>
  <c r="AY36" i="1" s="1"/>
  <c r="L68" i="1" s="1"/>
  <c r="L71" i="1" s="1"/>
  <c r="E48" i="2"/>
  <c r="H102" i="8"/>
  <c r="G102" i="8"/>
  <c r="AP12" i="1"/>
  <c r="AP17" i="1"/>
  <c r="AP20" i="1"/>
  <c r="H209" i="8"/>
  <c r="E210" i="8"/>
  <c r="C33" i="6"/>
  <c r="AQ36" i="1"/>
  <c r="BS36" i="6"/>
  <c r="AP13" i="1"/>
  <c r="CK36" i="6"/>
  <c r="AP23" i="1"/>
  <c r="AP26" i="1"/>
  <c r="AP19" i="1"/>
  <c r="AP28" i="1"/>
  <c r="AP27" i="1"/>
  <c r="AP16" i="1"/>
  <c r="AP22" i="1"/>
  <c r="AP15" i="1"/>
  <c r="AP32" i="1"/>
  <c r="AP33" i="1" s="1"/>
  <c r="E79" i="1" s="1"/>
  <c r="AO18" i="1"/>
  <c r="H97" i="8"/>
  <c r="D500" i="8"/>
  <c r="E319" i="8"/>
  <c r="G319" i="8" s="1"/>
  <c r="I319" i="8" s="1"/>
  <c r="F88" i="8"/>
  <c r="F72" i="8" s="1"/>
  <c r="H172" i="8"/>
  <c r="F25" i="8"/>
  <c r="H38" i="3"/>
  <c r="AO38" i="2"/>
  <c r="E145" i="8" s="1"/>
  <c r="G145" i="8" s="1"/>
  <c r="I145" i="8" s="1"/>
  <c r="H272" i="8"/>
  <c r="E98" i="8"/>
  <c r="H45" i="8"/>
  <c r="E46" i="8"/>
  <c r="E41" i="8" s="1"/>
  <c r="G234" i="8"/>
  <c r="G233" i="8"/>
  <c r="G330" i="8"/>
  <c r="I330" i="8" s="1"/>
  <c r="E37" i="8"/>
  <c r="G38" i="8" s="1"/>
  <c r="I38" i="8" s="1"/>
  <c r="AJ33" i="1"/>
  <c r="AJ29" i="1"/>
  <c r="G318" i="8"/>
  <c r="I318" i="8" s="1"/>
  <c r="H388" i="8"/>
  <c r="H318" i="8"/>
  <c r="H350" i="8"/>
  <c r="G350" i="8"/>
  <c r="I350" i="8" s="1"/>
  <c r="H250" i="8"/>
  <c r="G272" i="8"/>
  <c r="H331" i="8"/>
  <c r="H330" i="8"/>
  <c r="F147" i="8"/>
  <c r="E21" i="16" s="1"/>
  <c r="BB29" i="1"/>
  <c r="BB36" i="1" s="1"/>
  <c r="L79" i="1" s="1"/>
  <c r="BX36" i="6"/>
  <c r="M36" i="1"/>
  <c r="N47" i="1"/>
  <c r="H66" i="8"/>
  <c r="G338" i="8"/>
  <c r="G339" i="8" s="1"/>
  <c r="I339" i="8" s="1"/>
  <c r="G66" i="8"/>
  <c r="I66" i="8" s="1"/>
  <c r="G16" i="11"/>
  <c r="H338" i="8"/>
  <c r="H85" i="8"/>
  <c r="L13" i="1"/>
  <c r="AM33" i="1"/>
  <c r="E68" i="1" s="1"/>
  <c r="L26" i="1"/>
  <c r="L12" i="1"/>
  <c r="BF36" i="6"/>
  <c r="E341" i="8"/>
  <c r="E342" i="8" s="1"/>
  <c r="H342" i="8" s="1"/>
  <c r="E89" i="8"/>
  <c r="H339" i="8"/>
  <c r="L27" i="1"/>
  <c r="AO23" i="1"/>
  <c r="AO17" i="1"/>
  <c r="I206" i="8"/>
  <c r="H87" i="8"/>
  <c r="AM29" i="1"/>
  <c r="H68" i="1" s="1"/>
  <c r="H71" i="1" s="1"/>
  <c r="I315" i="8"/>
  <c r="G316" i="8"/>
  <c r="H16" i="11"/>
  <c r="E351" i="8"/>
  <c r="H351" i="8" s="1"/>
  <c r="I274" i="8"/>
  <c r="G93" i="8"/>
  <c r="I93" i="8" s="1"/>
  <c r="I86" i="8"/>
  <c r="H233" i="8"/>
  <c r="I294" i="8"/>
  <c r="H253" i="8"/>
  <c r="G253" i="8"/>
  <c r="I253" i="8" s="1"/>
  <c r="E254" i="8"/>
  <c r="E242" i="8"/>
  <c r="H241" i="8"/>
  <c r="G241" i="8"/>
  <c r="N55" i="1"/>
  <c r="IG37" i="2"/>
  <c r="IG53" i="2" s="1"/>
  <c r="IG57" i="2" s="1"/>
  <c r="E37" i="2"/>
  <c r="E38" i="2" s="1"/>
  <c r="E45" i="2"/>
  <c r="H392" i="8"/>
  <c r="H36" i="8"/>
  <c r="F37" i="8"/>
  <c r="AG36" i="1"/>
  <c r="AI33" i="1"/>
  <c r="AO32" i="1"/>
  <c r="H316" i="8"/>
  <c r="H49" i="8"/>
  <c r="AI29" i="1"/>
  <c r="AO12" i="1"/>
  <c r="X14" i="1"/>
  <c r="L14" i="1"/>
  <c r="X22" i="1"/>
  <c r="L22" i="1"/>
  <c r="L16" i="1"/>
  <c r="H212" i="8"/>
  <c r="G212" i="8"/>
  <c r="E213" i="8"/>
  <c r="E117" i="8"/>
  <c r="X24" i="1"/>
  <c r="F11" i="1"/>
  <c r="G10" i="11"/>
  <c r="G8" i="11" s="1"/>
  <c r="X11" i="1"/>
  <c r="R29" i="1"/>
  <c r="R36" i="1" s="1"/>
  <c r="I16" i="8"/>
  <c r="H67" i="8"/>
  <c r="I278" i="8"/>
  <c r="H278" i="8"/>
  <c r="X16" i="1"/>
  <c r="X18" i="1"/>
  <c r="N49" i="1"/>
  <c r="G251" i="8"/>
  <c r="L24" i="1"/>
  <c r="H17" i="8"/>
  <c r="G17" i="8"/>
  <c r="D33" i="6"/>
  <c r="DG33" i="6" s="1"/>
  <c r="H8" i="11"/>
  <c r="L18" i="1"/>
  <c r="R35" i="17" l="1"/>
  <c r="N30" i="17"/>
  <c r="C30" i="17" s="1"/>
  <c r="C14" i="17"/>
  <c r="E12" i="16"/>
  <c r="F110" i="8"/>
  <c r="F108" i="8"/>
  <c r="BE36" i="17"/>
  <c r="BB28" i="17"/>
  <c r="BB35" i="17" s="1"/>
  <c r="BA36" i="17" s="1"/>
  <c r="F228" i="8"/>
  <c r="F469" i="8"/>
  <c r="G35" i="17"/>
  <c r="BI36" i="17"/>
  <c r="FY36" i="17"/>
  <c r="I85" i="8"/>
  <c r="F14" i="16"/>
  <c r="GO35" i="17"/>
  <c r="AD32" i="17"/>
  <c r="AD35" i="17" s="1"/>
  <c r="AC36" i="17" s="1"/>
  <c r="C11" i="17"/>
  <c r="GP28" i="17"/>
  <c r="GP35" i="17" s="1"/>
  <c r="HF32" i="17"/>
  <c r="HF35" i="17" s="1"/>
  <c r="HE36" i="17" s="1"/>
  <c r="B31" i="17"/>
  <c r="E228" i="8"/>
  <c r="D45" i="11"/>
  <c r="E22" i="16"/>
  <c r="K30" i="17"/>
  <c r="M32" i="17"/>
  <c r="F9" i="8"/>
  <c r="F132" i="8"/>
  <c r="F130" i="8"/>
  <c r="E150" i="8"/>
  <c r="F167" i="8"/>
  <c r="F470" i="8" s="1"/>
  <c r="G168" i="8"/>
  <c r="I168" i="8" s="1"/>
  <c r="E171" i="8"/>
  <c r="E477" i="8" s="1"/>
  <c r="H88" i="8"/>
  <c r="G98" i="8"/>
  <c r="I97" i="8"/>
  <c r="CQ61" i="2"/>
  <c r="CQ57" i="2"/>
  <c r="CR57" i="2"/>
  <c r="E202" i="8"/>
  <c r="F204" i="8"/>
  <c r="F334" i="8"/>
  <c r="H103" i="8"/>
  <c r="I102" i="8"/>
  <c r="G103" i="8"/>
  <c r="E184" i="8"/>
  <c r="E151" i="8"/>
  <c r="E153" i="8" s="1"/>
  <c r="AO33" i="1"/>
  <c r="E77" i="1" s="1"/>
  <c r="G393" i="8"/>
  <c r="G389" i="8" s="1"/>
  <c r="E71" i="1"/>
  <c r="C68" i="1"/>
  <c r="C71" i="1" s="1"/>
  <c r="F313" i="8"/>
  <c r="G312" i="8"/>
  <c r="I312" i="8" s="1"/>
  <c r="I272" i="8"/>
  <c r="G252" i="8"/>
  <c r="H251" i="8"/>
  <c r="H168" i="8"/>
  <c r="I209" i="8"/>
  <c r="G311" i="8"/>
  <c r="I311" i="8" s="1"/>
  <c r="E312" i="8"/>
  <c r="H312" i="8" s="1"/>
  <c r="G210" i="8"/>
  <c r="I233" i="8"/>
  <c r="I234" i="8"/>
  <c r="H210" i="8"/>
  <c r="H213" i="8"/>
  <c r="G166" i="8"/>
  <c r="F243" i="8"/>
  <c r="F229" i="8" s="1"/>
  <c r="I241" i="8"/>
  <c r="DD36" i="6"/>
  <c r="G275" i="8"/>
  <c r="G142" i="8"/>
  <c r="H142" i="8"/>
  <c r="I172" i="8"/>
  <c r="G173" i="8"/>
  <c r="I392" i="8"/>
  <c r="I24" i="8"/>
  <c r="G25" i="8"/>
  <c r="F59" i="8"/>
  <c r="H409" i="8"/>
  <c r="H41" i="8"/>
  <c r="I45" i="8"/>
  <c r="H106" i="8"/>
  <c r="H411" i="8"/>
  <c r="E26" i="8"/>
  <c r="E10" i="8" s="1"/>
  <c r="H25" i="8"/>
  <c r="G406" i="8"/>
  <c r="G387" i="8" s="1"/>
  <c r="H387" i="8"/>
  <c r="H148" i="8"/>
  <c r="G148" i="8"/>
  <c r="DM57" i="2"/>
  <c r="G353" i="8"/>
  <c r="I353" i="8" s="1"/>
  <c r="H353" i="8"/>
  <c r="H38" i="8"/>
  <c r="G351" i="8"/>
  <c r="I351" i="8" s="1"/>
  <c r="F185" i="8"/>
  <c r="F186" i="8" s="1"/>
  <c r="BS37" i="6"/>
  <c r="CK37" i="6"/>
  <c r="AP29" i="1"/>
  <c r="I16" i="11"/>
  <c r="AJ36" i="1"/>
  <c r="H319" i="8"/>
  <c r="G320" i="8"/>
  <c r="I320" i="8" s="1"/>
  <c r="F26" i="8"/>
  <c r="F10" i="8" s="1"/>
  <c r="E147" i="8"/>
  <c r="D21" i="16" s="1"/>
  <c r="H145" i="8"/>
  <c r="H173" i="8"/>
  <c r="G37" i="8"/>
  <c r="I37" i="8" s="1"/>
  <c r="G46" i="8"/>
  <c r="G41" i="8" s="1"/>
  <c r="H46" i="8"/>
  <c r="E100" i="8"/>
  <c r="G100" i="8" s="1"/>
  <c r="I100" i="8" s="1"/>
  <c r="H98" i="8"/>
  <c r="I338" i="8"/>
  <c r="G50" i="8"/>
  <c r="I50" i="8" s="1"/>
  <c r="H50" i="8"/>
  <c r="H393" i="8"/>
  <c r="H189" i="8"/>
  <c r="AM36" i="1"/>
  <c r="H343" i="8"/>
  <c r="H341" i="8"/>
  <c r="G165" i="8"/>
  <c r="G341" i="8"/>
  <c r="E90" i="8"/>
  <c r="H89" i="8"/>
  <c r="G89" i="8"/>
  <c r="H37" i="8"/>
  <c r="AI36" i="1"/>
  <c r="G317" i="8"/>
  <c r="I316" i="8"/>
  <c r="H296" i="8"/>
  <c r="H295" i="8"/>
  <c r="I409" i="8"/>
  <c r="I411" i="8"/>
  <c r="E243" i="8"/>
  <c r="G242" i="8"/>
  <c r="H242" i="8"/>
  <c r="G254" i="8"/>
  <c r="I254" i="8" s="1"/>
  <c r="H254" i="8"/>
  <c r="G94" i="8"/>
  <c r="I94" i="8" s="1"/>
  <c r="H94" i="8"/>
  <c r="E49" i="2"/>
  <c r="H76" i="8"/>
  <c r="H317" i="8"/>
  <c r="AO29" i="1"/>
  <c r="H340" i="8"/>
  <c r="G340" i="8"/>
  <c r="I340" i="8" s="1"/>
  <c r="I10" i="11"/>
  <c r="H346" i="8"/>
  <c r="G346" i="8"/>
  <c r="I346" i="8" s="1"/>
  <c r="L11" i="1"/>
  <c r="F29" i="1"/>
  <c r="E119" i="8"/>
  <c r="G117" i="8"/>
  <c r="H117" i="8"/>
  <c r="X29" i="1"/>
  <c r="X36" i="1" s="1"/>
  <c r="K79" i="1" s="1"/>
  <c r="I17" i="8"/>
  <c r="I251" i="8"/>
  <c r="I212" i="8"/>
  <c r="G213" i="8"/>
  <c r="F111" i="8" l="1"/>
  <c r="D12" i="16"/>
  <c r="F230" i="8"/>
  <c r="C28" i="17"/>
  <c r="F32" i="17"/>
  <c r="N28" i="17"/>
  <c r="GO36" i="17"/>
  <c r="G228" i="8"/>
  <c r="N32" i="17"/>
  <c r="F327" i="8"/>
  <c r="E8" i="16"/>
  <c r="F55" i="8"/>
  <c r="E17" i="16"/>
  <c r="K32" i="17"/>
  <c r="D22" i="16"/>
  <c r="F133" i="8"/>
  <c r="I213" i="8"/>
  <c r="I98" i="8"/>
  <c r="I166" i="8"/>
  <c r="H202" i="8"/>
  <c r="I210" i="8"/>
  <c r="G202" i="8"/>
  <c r="I103" i="8"/>
  <c r="H252" i="8"/>
  <c r="H169" i="8"/>
  <c r="I189" i="8"/>
  <c r="G184" i="8"/>
  <c r="I184" i="8" s="1"/>
  <c r="G190" i="8"/>
  <c r="E185" i="8"/>
  <c r="H185" i="8" s="1"/>
  <c r="G151" i="8"/>
  <c r="I393" i="8"/>
  <c r="H151" i="8"/>
  <c r="G407" i="8"/>
  <c r="G388" i="8" s="1"/>
  <c r="I387" i="8"/>
  <c r="AP36" i="1"/>
  <c r="H79" i="1"/>
  <c r="C79" i="1" s="1"/>
  <c r="AO36" i="1"/>
  <c r="H77" i="1"/>
  <c r="C77" i="1" s="1"/>
  <c r="G313" i="8"/>
  <c r="I313" i="8" s="1"/>
  <c r="H408" i="8"/>
  <c r="H389" i="8"/>
  <c r="I252" i="8"/>
  <c r="H228" i="8"/>
  <c r="G169" i="8"/>
  <c r="E313" i="8"/>
  <c r="H313" i="8" s="1"/>
  <c r="H379" i="8"/>
  <c r="I165" i="8"/>
  <c r="H165" i="8"/>
  <c r="I142" i="8"/>
  <c r="H47" i="8"/>
  <c r="H42" i="8"/>
  <c r="I242" i="8"/>
  <c r="H153" i="8"/>
  <c r="I148" i="8"/>
  <c r="I173" i="8"/>
  <c r="I406" i="8"/>
  <c r="G26" i="8"/>
  <c r="G10" i="8" s="1"/>
  <c r="I25" i="8"/>
  <c r="H62" i="8"/>
  <c r="G47" i="8"/>
  <c r="I46" i="8"/>
  <c r="I41" i="8"/>
  <c r="H26" i="8"/>
  <c r="G150" i="8"/>
  <c r="H150" i="8"/>
  <c r="G354" i="8"/>
  <c r="H190" i="8"/>
  <c r="H184" i="8"/>
  <c r="G147" i="8"/>
  <c r="H147" i="8"/>
  <c r="H320" i="8"/>
  <c r="H100" i="8"/>
  <c r="G62" i="8"/>
  <c r="G343" i="8"/>
  <c r="I343" i="8" s="1"/>
  <c r="H90" i="8"/>
  <c r="E91" i="8"/>
  <c r="G90" i="8"/>
  <c r="I89" i="8"/>
  <c r="I341" i="8"/>
  <c r="G342" i="8"/>
  <c r="I342" i="8" s="1"/>
  <c r="I317" i="8"/>
  <c r="H352" i="8"/>
  <c r="G352" i="8"/>
  <c r="I352" i="8" s="1"/>
  <c r="H255" i="8"/>
  <c r="G255" i="8"/>
  <c r="I255" i="8" s="1"/>
  <c r="G243" i="8"/>
  <c r="H243" i="8"/>
  <c r="H355" i="8"/>
  <c r="G355" i="8"/>
  <c r="I117" i="8"/>
  <c r="I8" i="11"/>
  <c r="L29" i="1"/>
  <c r="H119" i="8"/>
  <c r="G119" i="8"/>
  <c r="G349" i="8"/>
  <c r="I349" i="8" s="1"/>
  <c r="H349" i="8"/>
  <c r="F12" i="16" l="1"/>
  <c r="F456" i="8"/>
  <c r="F455" i="8"/>
  <c r="B30" i="17"/>
  <c r="B32" i="17" s="1"/>
  <c r="C32" i="17"/>
  <c r="C35" i="17" s="1"/>
  <c r="N35" i="17"/>
  <c r="E24" i="16"/>
  <c r="E26" i="16" s="1"/>
  <c r="I147" i="8"/>
  <c r="F21" i="16"/>
  <c r="G42" i="8"/>
  <c r="I42" i="8" s="1"/>
  <c r="E72" i="8"/>
  <c r="I228" i="8"/>
  <c r="I151" i="8"/>
  <c r="G153" i="8"/>
  <c r="H171" i="8"/>
  <c r="G171" i="8"/>
  <c r="G477" i="8" s="1"/>
  <c r="I202" i="8"/>
  <c r="H170" i="8"/>
  <c r="I190" i="8"/>
  <c r="G185" i="8"/>
  <c r="I185" i="8" s="1"/>
  <c r="I379" i="8"/>
  <c r="I407" i="8"/>
  <c r="I388" i="8"/>
  <c r="H381" i="8"/>
  <c r="F79" i="1"/>
  <c r="G170" i="8"/>
  <c r="G157" i="8" s="1"/>
  <c r="I408" i="8"/>
  <c r="I389" i="8"/>
  <c r="I169" i="8"/>
  <c r="I354" i="8"/>
  <c r="I355" i="8"/>
  <c r="H166" i="8"/>
  <c r="I243" i="8"/>
  <c r="H10" i="8"/>
  <c r="I150" i="8"/>
  <c r="I26" i="8"/>
  <c r="I62" i="8"/>
  <c r="I47" i="8"/>
  <c r="I90" i="8"/>
  <c r="H91" i="8"/>
  <c r="G91" i="8"/>
  <c r="I119" i="8"/>
  <c r="F22" i="16" l="1"/>
  <c r="F463" i="8"/>
  <c r="F464" i="8" s="1"/>
  <c r="I153" i="8"/>
  <c r="I171" i="8"/>
  <c r="I170" i="8"/>
  <c r="I381" i="8"/>
  <c r="H157" i="8"/>
  <c r="I10" i="8"/>
  <c r="F493" i="8"/>
  <c r="I91" i="8"/>
  <c r="D17" i="15" l="1"/>
  <c r="I157" i="8"/>
  <c r="N26" i="4" l="1"/>
  <c r="P36" i="3" s="1"/>
  <c r="C26" i="4" l="1"/>
  <c r="Q26" i="4"/>
  <c r="O26" i="4"/>
  <c r="Q36" i="3" s="1"/>
  <c r="C36" i="3" s="1"/>
  <c r="P26" i="4"/>
  <c r="P38" i="3"/>
  <c r="E362" i="8" s="1"/>
  <c r="Q38" i="3" l="1"/>
  <c r="F362" i="8" s="1"/>
  <c r="E363" i="8"/>
  <c r="G362" i="8"/>
  <c r="E26" i="4" l="1"/>
  <c r="Q40" i="3"/>
  <c r="F363" i="8"/>
  <c r="H362" i="8"/>
  <c r="G363" i="8"/>
  <c r="I362" i="8"/>
  <c r="AR54" i="1" l="1"/>
  <c r="G364" i="8"/>
  <c r="H363" i="8"/>
  <c r="E25" i="16"/>
  <c r="I363" i="8"/>
  <c r="D16" i="15" l="1"/>
  <c r="I364" i="8"/>
  <c r="H364" i="8"/>
  <c r="F462" i="8" l="1"/>
  <c r="AT8" i="4" l="1"/>
  <c r="D8" i="4" s="1"/>
  <c r="AR26" i="4"/>
  <c r="AD36" i="3" s="1"/>
  <c r="QW12" i="2" l="1"/>
  <c r="AD38" i="3"/>
  <c r="E443" i="8" s="1"/>
  <c r="AT26" i="4"/>
  <c r="AF38" i="3" s="1"/>
  <c r="E138" i="8" s="1"/>
  <c r="E444" i="8" l="1"/>
  <c r="E130" i="8"/>
  <c r="H130" i="8" s="1"/>
  <c r="E140" i="8"/>
  <c r="E131" i="8"/>
  <c r="H131" i="8" s="1"/>
  <c r="G138" i="8"/>
  <c r="H138" i="8"/>
  <c r="H443" i="8"/>
  <c r="G443" i="8"/>
  <c r="H428" i="8"/>
  <c r="G130" i="8" l="1"/>
  <c r="I130" i="8" s="1"/>
  <c r="G140" i="8"/>
  <c r="D16" i="16"/>
  <c r="E132" i="8"/>
  <c r="H132" i="8" s="1"/>
  <c r="E437" i="8"/>
  <c r="H139" i="8"/>
  <c r="I138" i="8"/>
  <c r="G131" i="8"/>
  <c r="I131" i="8" s="1"/>
  <c r="H430" i="8"/>
  <c r="I443" i="8"/>
  <c r="I428" i="8"/>
  <c r="H429" i="8"/>
  <c r="G444" i="8"/>
  <c r="G437" i="8" s="1"/>
  <c r="H444" i="8"/>
  <c r="E133" i="8" l="1"/>
  <c r="H445" i="8"/>
  <c r="G445" i="8"/>
  <c r="I139" i="8"/>
  <c r="H140" i="8"/>
  <c r="I444" i="8"/>
  <c r="I429" i="8"/>
  <c r="H437" i="8"/>
  <c r="I430" i="8"/>
  <c r="H133" i="8" l="1"/>
  <c r="G132" i="8"/>
  <c r="I132" i="8" s="1"/>
  <c r="F16" i="16"/>
  <c r="F15" i="16"/>
  <c r="I445" i="8"/>
  <c r="H72" i="8"/>
  <c r="I140" i="8"/>
  <c r="I437" i="8"/>
  <c r="G133" i="8" l="1"/>
  <c r="D308" i="8"/>
  <c r="G309" i="8"/>
  <c r="G296" i="8" s="1"/>
  <c r="D295" i="8" l="1"/>
  <c r="D297" i="8" s="1"/>
  <c r="D456" i="8" s="1"/>
  <c r="I133" i="8"/>
  <c r="G308" i="8"/>
  <c r="G295" i="8" s="1"/>
  <c r="G297" i="8" s="1"/>
  <c r="I297" i="8" s="1"/>
  <c r="D504" i="8"/>
  <c r="G505" i="8"/>
  <c r="I309" i="8"/>
  <c r="D454" i="8" l="1"/>
  <c r="B17" i="15"/>
  <c r="D464" i="8"/>
  <c r="I505" i="8"/>
  <c r="F11" i="16"/>
  <c r="G504" i="8"/>
  <c r="I504" i="8" s="1"/>
  <c r="I296" i="8"/>
  <c r="I308" i="8"/>
  <c r="I295" i="8" l="1"/>
  <c r="C33" i="2" l="1"/>
  <c r="AF32" i="1" s="1"/>
  <c r="AL32" i="1" s="1"/>
  <c r="AJ34" i="2" l="1"/>
  <c r="AJ44" i="2" s="1"/>
  <c r="C44" i="2" s="1"/>
  <c r="AH32" i="1"/>
  <c r="C32" i="2"/>
  <c r="AH31" i="1"/>
  <c r="AN31" i="1" l="1"/>
  <c r="AH33" i="1"/>
  <c r="AN32" i="1"/>
  <c r="AF31" i="1"/>
  <c r="C34" i="2"/>
  <c r="AF33" i="1" l="1"/>
  <c r="AL31" i="1"/>
  <c r="AL33" i="1" s="1"/>
  <c r="AN33" i="1"/>
  <c r="E73" i="1" l="1"/>
  <c r="E66" i="1"/>
  <c r="E81" i="1" l="1"/>
  <c r="E54" i="2" l="1"/>
  <c r="H75" i="1" s="1"/>
  <c r="E60" i="2"/>
  <c r="J75" i="1" s="1"/>
  <c r="E55" i="2"/>
  <c r="E75" i="1" s="1"/>
  <c r="BB57" i="2" l="1"/>
  <c r="BB61" i="2"/>
  <c r="I282" i="8" l="1"/>
  <c r="I281" i="8"/>
  <c r="I283" i="8"/>
  <c r="H21" i="11" l="1"/>
  <c r="I21" i="11" l="1"/>
  <c r="I17" i="13" l="1"/>
  <c r="E17" i="13" l="1"/>
  <c r="D68" i="8" l="1"/>
  <c r="G67" i="8"/>
  <c r="C19" i="16" l="1"/>
  <c r="C24" i="16" s="1"/>
  <c r="C26" i="16" s="1"/>
  <c r="D55" i="8"/>
  <c r="D455" i="8" s="1"/>
  <c r="B15" i="15"/>
  <c r="D460" i="8"/>
  <c r="G68" i="8"/>
  <c r="I67" i="8"/>
  <c r="D462" i="8" l="1"/>
  <c r="F19" i="16"/>
  <c r="I68" i="8"/>
  <c r="C25" i="16" l="1"/>
  <c r="D457" i="8"/>
  <c r="B16" i="15"/>
  <c r="AI29" i="6" l="1"/>
  <c r="AI36" i="6" s="1"/>
  <c r="TB33" i="2" l="1"/>
  <c r="TB34" i="2" l="1"/>
  <c r="TB37" i="2" s="1"/>
  <c r="TB38" i="2" s="1"/>
  <c r="TA33" i="2"/>
  <c r="SG33" i="2" s="1"/>
  <c r="CR32" i="6"/>
  <c r="CJ32" i="6" s="1"/>
  <c r="CJ33" i="6" s="1"/>
  <c r="CJ36" i="6" s="1"/>
  <c r="SG34" i="2" l="1"/>
  <c r="SG44" i="2" s="1"/>
  <c r="E17" i="11"/>
  <c r="B60" i="7"/>
  <c r="TA34" i="2"/>
  <c r="TA37" i="2" s="1"/>
  <c r="CR33" i="6"/>
  <c r="CR36" i="6" s="1"/>
  <c r="SG37" i="2" l="1"/>
  <c r="H17" i="11"/>
  <c r="G17" i="11"/>
  <c r="E12" i="11"/>
  <c r="F32" i="1"/>
  <c r="F33" i="1" l="1"/>
  <c r="I17" i="11"/>
  <c r="G12" i="11"/>
  <c r="H12" i="11"/>
  <c r="L32" i="1"/>
  <c r="L33" i="1" l="1"/>
  <c r="F36" i="1"/>
  <c r="I12" i="11"/>
  <c r="D79" i="1" l="1"/>
  <c r="B79" i="1" s="1"/>
  <c r="L36" i="1"/>
  <c r="VB30" i="2" l="1"/>
  <c r="VB37" i="2" s="1"/>
  <c r="E28" i="11" s="1"/>
  <c r="H28" i="11" l="1"/>
  <c r="G28" i="11"/>
  <c r="I28" i="11" l="1"/>
  <c r="VC30" i="2" l="1"/>
  <c r="VC37" i="2" s="1"/>
  <c r="E29" i="11" l="1"/>
  <c r="E48" i="11" s="1"/>
  <c r="B56" i="7"/>
  <c r="B64" i="7" s="1"/>
  <c r="CJ37" i="6" l="1"/>
  <c r="G29" i="11"/>
  <c r="G48" i="11" s="1"/>
  <c r="H29" i="11"/>
  <c r="I29" i="11" l="1"/>
  <c r="VD30" i="2" l="1"/>
  <c r="VD37" i="2" s="1"/>
  <c r="E30" i="11" s="1"/>
  <c r="H30" i="11" l="1"/>
  <c r="G30" i="11"/>
  <c r="E26" i="11"/>
  <c r="E44" i="11" s="1"/>
  <c r="I30" i="11" l="1"/>
  <c r="G26" i="11"/>
  <c r="G44" i="11" s="1"/>
  <c r="H26" i="11"/>
  <c r="H44" i="11" s="1"/>
  <c r="I26" i="11" l="1"/>
  <c r="I44" i="11" s="1"/>
  <c r="E51" i="11"/>
  <c r="G51" i="11" l="1"/>
  <c r="E20" i="9"/>
  <c r="E8" i="9" l="1"/>
  <c r="D8" i="9" l="1"/>
  <c r="G106" i="8" l="1"/>
  <c r="G76" i="8"/>
  <c r="I76" i="8" s="1"/>
  <c r="I106" i="8" l="1"/>
  <c r="G72" i="8"/>
  <c r="I72" i="8" s="1"/>
  <c r="P26" i="5"/>
  <c r="P23" i="5"/>
  <c r="P20" i="5"/>
  <c r="P15" i="5"/>
  <c r="P31" i="5" l="1"/>
  <c r="P28" i="5"/>
  <c r="P32" i="5"/>
  <c r="AJ18" i="5" l="1"/>
  <c r="AJ27" i="5"/>
  <c r="AJ26" i="5"/>
  <c r="AJ25" i="5"/>
  <c r="AJ24" i="5"/>
  <c r="AJ23" i="5"/>
  <c r="AJ22" i="5"/>
  <c r="AJ21" i="5"/>
  <c r="AJ20" i="5"/>
  <c r="AJ19" i="5"/>
  <c r="AJ17" i="5"/>
  <c r="AJ16" i="5"/>
  <c r="AJ15" i="5"/>
  <c r="AJ14" i="5"/>
  <c r="AJ13" i="5"/>
  <c r="AJ12" i="5"/>
  <c r="AJ11" i="5"/>
  <c r="AJ10" i="5"/>
  <c r="AJ9" i="5"/>
  <c r="AJ8" i="5"/>
  <c r="J27" i="5"/>
  <c r="J26" i="5"/>
  <c r="J25" i="5"/>
  <c r="J24" i="5"/>
  <c r="J23" i="5"/>
  <c r="J22" i="5"/>
  <c r="J21" i="5"/>
  <c r="J20" i="5"/>
  <c r="J19" i="5"/>
  <c r="J18" i="5"/>
  <c r="J17" i="5"/>
  <c r="J16" i="5"/>
  <c r="J15" i="5"/>
  <c r="J14" i="5"/>
  <c r="J13" i="5"/>
  <c r="J12" i="5"/>
  <c r="J11" i="5"/>
  <c r="J10" i="5"/>
  <c r="J9" i="5"/>
  <c r="J8" i="5"/>
  <c r="SB33" i="2"/>
  <c r="SB32" i="2"/>
  <c r="SB29" i="2"/>
  <c r="SB28" i="2"/>
  <c r="SB27" i="2"/>
  <c r="SB26" i="2"/>
  <c r="SB25" i="2"/>
  <c r="SB24" i="2"/>
  <c r="SB23" i="2"/>
  <c r="SB22" i="2"/>
  <c r="SB21" i="2"/>
  <c r="SB20" i="2"/>
  <c r="SB19" i="2"/>
  <c r="SB18" i="2"/>
  <c r="SB17" i="2"/>
  <c r="SB16" i="2"/>
  <c r="SB15" i="2"/>
  <c r="SB14" i="2"/>
  <c r="SB13" i="2"/>
  <c r="SB12" i="2"/>
  <c r="RS33" i="2"/>
  <c r="RS22" i="2"/>
  <c r="RC21" i="2" l="1"/>
  <c r="RY21" i="2"/>
  <c r="RC25" i="2"/>
  <c r="RY25" i="2"/>
  <c r="RC29" i="2"/>
  <c r="RY29" i="2"/>
  <c r="RC12" i="2"/>
  <c r="RY12" i="2"/>
  <c r="RC20" i="2"/>
  <c r="RY20" i="2"/>
  <c r="RC24" i="2"/>
  <c r="RY24" i="2"/>
  <c r="RC28" i="2"/>
  <c r="RY28" i="2"/>
  <c r="RC19" i="2"/>
  <c r="RY19" i="2"/>
  <c r="RC23" i="2"/>
  <c r="RY23" i="2"/>
  <c r="RC27" i="2"/>
  <c r="RY27" i="2"/>
  <c r="RC33" i="2"/>
  <c r="RY33" i="2"/>
  <c r="RC13" i="2"/>
  <c r="RY13" i="2"/>
  <c r="RC17" i="2"/>
  <c r="RY17" i="2"/>
  <c r="RC16" i="2"/>
  <c r="RY16" i="2"/>
  <c r="RC15" i="2"/>
  <c r="RY15" i="2"/>
  <c r="RC14" i="2"/>
  <c r="RY14" i="2"/>
  <c r="RC18" i="2"/>
  <c r="RY18" i="2"/>
  <c r="RC22" i="2"/>
  <c r="RY22" i="2"/>
  <c r="RC26" i="2"/>
  <c r="RY26" i="2"/>
  <c r="RC32" i="2"/>
  <c r="RC34" i="2" s="1"/>
  <c r="RY32" i="2"/>
  <c r="SB30" i="2"/>
  <c r="CF11" i="6"/>
  <c r="BR11" i="6" s="1"/>
  <c r="CF15" i="6"/>
  <c r="BR15" i="6" s="1"/>
  <c r="CF19" i="6"/>
  <c r="BR19" i="6" s="1"/>
  <c r="CF23" i="6"/>
  <c r="BR23" i="6" s="1"/>
  <c r="CF27" i="6"/>
  <c r="BR27" i="6" s="1"/>
  <c r="B8" i="5"/>
  <c r="J28" i="5"/>
  <c r="J31" i="5"/>
  <c r="B12" i="5"/>
  <c r="RG16" i="2" s="1"/>
  <c r="RB16" i="2" s="1"/>
  <c r="B16" i="5"/>
  <c r="RG20" i="2" s="1"/>
  <c r="RB20" i="2" s="1"/>
  <c r="B20" i="5"/>
  <c r="RG24" i="2" s="1"/>
  <c r="RB24" i="2" s="1"/>
  <c r="B24" i="5"/>
  <c r="RG28" i="2" s="1"/>
  <c r="RB28" i="2" s="1"/>
  <c r="AJ31" i="5"/>
  <c r="AJ28" i="5"/>
  <c r="RS34" i="2"/>
  <c r="BZ32" i="6"/>
  <c r="BZ33" i="6" s="1"/>
  <c r="CF14" i="6"/>
  <c r="BR14" i="6" s="1"/>
  <c r="CF18" i="6"/>
  <c r="BR18" i="6" s="1"/>
  <c r="CF22" i="6"/>
  <c r="BR22" i="6" s="1"/>
  <c r="CF26" i="6"/>
  <c r="BR26" i="6" s="1"/>
  <c r="CF32" i="6"/>
  <c r="B11" i="5"/>
  <c r="RG15" i="2" s="1"/>
  <c r="RB15" i="2" s="1"/>
  <c r="B15" i="5"/>
  <c r="RG19" i="2" s="1"/>
  <c r="RB19" i="2" s="1"/>
  <c r="B19" i="5"/>
  <c r="RG23" i="2" s="1"/>
  <c r="RB23" i="2" s="1"/>
  <c r="B23" i="5"/>
  <c r="RG27" i="2" s="1"/>
  <c r="RB27" i="2" s="1"/>
  <c r="B27" i="5"/>
  <c r="RG33" i="2" s="1"/>
  <c r="RB33" i="2" s="1"/>
  <c r="BZ21" i="6"/>
  <c r="BZ29" i="6" s="1"/>
  <c r="RS30" i="2"/>
  <c r="CF13" i="6"/>
  <c r="BR13" i="6" s="1"/>
  <c r="CF17" i="6"/>
  <c r="BR17" i="6" s="1"/>
  <c r="CF21" i="6"/>
  <c r="BR21" i="6" s="1"/>
  <c r="CF25" i="6"/>
  <c r="BR25" i="6" s="1"/>
  <c r="SB34" i="2"/>
  <c r="CF31" i="6"/>
  <c r="BR31" i="6" s="1"/>
  <c r="B10" i="5"/>
  <c r="RG14" i="2" s="1"/>
  <c r="RB14" i="2" s="1"/>
  <c r="B14" i="5"/>
  <c r="RG18" i="2" s="1"/>
  <c r="RB18" i="2" s="1"/>
  <c r="B18" i="5"/>
  <c r="RG22" i="2" s="1"/>
  <c r="RB22" i="2" s="1"/>
  <c r="B22" i="5"/>
  <c r="RG26" i="2" s="1"/>
  <c r="RB26" i="2" s="1"/>
  <c r="RA26" i="2" s="1"/>
  <c r="B26" i="5"/>
  <c r="J32" i="5"/>
  <c r="CF12" i="6"/>
  <c r="BR12" i="6" s="1"/>
  <c r="CF16" i="6"/>
  <c r="BR16" i="6" s="1"/>
  <c r="CF20" i="6"/>
  <c r="BR20" i="6" s="1"/>
  <c r="CF24" i="6"/>
  <c r="BR24" i="6" s="1"/>
  <c r="CF28" i="6"/>
  <c r="BR28" i="6" s="1"/>
  <c r="B9" i="5"/>
  <c r="RG13" i="2" s="1"/>
  <c r="RB13" i="2" s="1"/>
  <c r="B13" i="5"/>
  <c r="RG17" i="2" s="1"/>
  <c r="RB17" i="2" s="1"/>
  <c r="B17" i="5"/>
  <c r="RG21" i="2" s="1"/>
  <c r="RB21" i="2" s="1"/>
  <c r="B21" i="5"/>
  <c r="RG25" i="2" s="1"/>
  <c r="RB25" i="2" s="1"/>
  <c r="B25" i="5"/>
  <c r="RG29" i="2" s="1"/>
  <c r="RB29" i="2" s="1"/>
  <c r="AJ32" i="5"/>
  <c r="BR32" i="6" l="1"/>
  <c r="RA21" i="2"/>
  <c r="E20" i="1" s="1"/>
  <c r="BZ36" i="6"/>
  <c r="RS37" i="2"/>
  <c r="B45" i="7" s="1"/>
  <c r="RA27" i="2"/>
  <c r="E26" i="1" s="1"/>
  <c r="RA16" i="2"/>
  <c r="E15" i="1" s="1"/>
  <c r="RA29" i="2"/>
  <c r="E28" i="1" s="1"/>
  <c r="RA22" i="2"/>
  <c r="RA19" i="2"/>
  <c r="E18" i="1" s="1"/>
  <c r="RA17" i="2"/>
  <c r="DC20" i="6"/>
  <c r="E25" i="1"/>
  <c r="DC21" i="6"/>
  <c r="DC26" i="6"/>
  <c r="DC14" i="6"/>
  <c r="B31" i="5"/>
  <c r="B28" i="5"/>
  <c r="RG12" i="2"/>
  <c r="RA20" i="2"/>
  <c r="RC30" i="2"/>
  <c r="RC37" i="2" s="1"/>
  <c r="DC28" i="6"/>
  <c r="CF33" i="6"/>
  <c r="DC22" i="6"/>
  <c r="DC18" i="6"/>
  <c r="DC19" i="6"/>
  <c r="DC15" i="6"/>
  <c r="RY30" i="2"/>
  <c r="RA33" i="2"/>
  <c r="RA23" i="2"/>
  <c r="RA28" i="2"/>
  <c r="DC24" i="6"/>
  <c r="DC16" i="6"/>
  <c r="DC12" i="6"/>
  <c r="B32" i="5"/>
  <c r="RG32" i="2"/>
  <c r="DC17" i="6"/>
  <c r="DC27" i="6"/>
  <c r="DC23" i="6"/>
  <c r="RA14" i="2"/>
  <c r="SB37" i="2"/>
  <c r="B47" i="7" s="1"/>
  <c r="RY34" i="2"/>
  <c r="DC25" i="6"/>
  <c r="DC13" i="6"/>
  <c r="CF29" i="6"/>
  <c r="RA25" i="2"/>
  <c r="RA13" i="2"/>
  <c r="RA18" i="2"/>
  <c r="RA15" i="2"/>
  <c r="RA24" i="2"/>
  <c r="CF36" i="6" l="1"/>
  <c r="B52" i="7"/>
  <c r="E21" i="1"/>
  <c r="E16" i="1"/>
  <c r="E12" i="1"/>
  <c r="RG34" i="2"/>
  <c r="RB32" i="2"/>
  <c r="E27" i="1"/>
  <c r="K28" i="1"/>
  <c r="RY37" i="2"/>
  <c r="E17" i="1"/>
  <c r="E23" i="1"/>
  <c r="B32" i="6"/>
  <c r="DC32" i="6"/>
  <c r="E32" i="1"/>
  <c r="E19" i="1"/>
  <c r="RG30" i="2"/>
  <c r="RB12" i="2"/>
  <c r="K15" i="1"/>
  <c r="K25" i="1"/>
  <c r="K20" i="1"/>
  <c r="DC11" i="6"/>
  <c r="BR29" i="6"/>
  <c r="E14" i="1"/>
  <c r="E24" i="1"/>
  <c r="K26" i="1"/>
  <c r="E13" i="1"/>
  <c r="K18" i="1"/>
  <c r="E22" i="1"/>
  <c r="B31" i="6"/>
  <c r="BR33" i="6"/>
  <c r="DC33" i="6" s="1"/>
  <c r="DC31" i="6"/>
  <c r="RG37" i="2" l="1"/>
  <c r="B33" i="6"/>
  <c r="K16" i="1"/>
  <c r="K21" i="1"/>
  <c r="K17" i="1"/>
  <c r="K12" i="1"/>
  <c r="K13" i="1"/>
  <c r="K22" i="1"/>
  <c r="K14" i="1"/>
  <c r="K32" i="1"/>
  <c r="RB30" i="2"/>
  <c r="RA12" i="2"/>
  <c r="K23" i="1"/>
  <c r="K27" i="1"/>
  <c r="K24" i="1"/>
  <c r="BR36" i="6"/>
  <c r="DC29" i="6"/>
  <c r="K19" i="1"/>
  <c r="RB34" i="2"/>
  <c r="RA32" i="2"/>
  <c r="DC36" i="6" l="1"/>
  <c r="BR37" i="6"/>
  <c r="RA34" i="2"/>
  <c r="RA44" i="2" s="1"/>
  <c r="E31" i="1"/>
  <c r="RB37" i="2"/>
  <c r="RA30" i="2"/>
  <c r="E11" i="1"/>
  <c r="K11" i="1" l="1"/>
  <c r="E29" i="1"/>
  <c r="K31" i="1"/>
  <c r="E33" i="1"/>
  <c r="RA45" i="2"/>
  <c r="RA37" i="2"/>
  <c r="K29" i="1" l="1"/>
  <c r="E36" i="1"/>
  <c r="RA49" i="2"/>
  <c r="RA38" i="2"/>
  <c r="K33" i="1"/>
  <c r="F77" i="1" l="1"/>
  <c r="K36" i="1"/>
  <c r="D77" i="1"/>
  <c r="B77" i="1" l="1"/>
  <c r="IT13" i="2" l="1"/>
  <c r="IW13" i="2" s="1"/>
  <c r="IU13" i="2"/>
  <c r="IX13" i="2" s="1"/>
  <c r="JC13" i="2" l="1"/>
  <c r="IV13" i="2"/>
  <c r="JD13" i="2"/>
  <c r="FO11" i="17" s="1"/>
  <c r="S11" i="17" s="1"/>
  <c r="H11" i="17" s="1"/>
  <c r="F11" i="17" s="1"/>
  <c r="AQ12" i="6"/>
  <c r="IS13" i="2"/>
  <c r="IZ13" i="2"/>
  <c r="AP12" i="6"/>
  <c r="JA13" i="2"/>
  <c r="AP29" i="3"/>
  <c r="AP18" i="3"/>
  <c r="AP15" i="3"/>
  <c r="BJ18" i="4"/>
  <c r="BJ15" i="4"/>
  <c r="JB13" i="2" l="1"/>
  <c r="FM11" i="17"/>
  <c r="Q11" i="17" s="1"/>
  <c r="E12" i="6"/>
  <c r="C12" i="6" s="1"/>
  <c r="BL18" i="4"/>
  <c r="D18" i="4" s="1"/>
  <c r="QW22" i="2" s="1"/>
  <c r="B18" i="4"/>
  <c r="QU22" i="2" s="1"/>
  <c r="AP26" i="3"/>
  <c r="BJ26" i="4"/>
  <c r="BL15" i="4"/>
  <c r="AP30" i="3"/>
  <c r="AP44" i="3" s="1"/>
  <c r="B44" i="3" s="1"/>
  <c r="IY13" i="2"/>
  <c r="FK11" i="17"/>
  <c r="FI11" i="17"/>
  <c r="L11" i="17" l="1"/>
  <c r="AP36" i="3"/>
  <c r="BJ29" i="4"/>
  <c r="B29" i="4" s="1"/>
  <c r="B45" i="3" s="1"/>
  <c r="AP43" i="3"/>
  <c r="B43" i="3" s="1"/>
  <c r="AP33" i="3"/>
  <c r="BL26" i="4"/>
  <c r="BL29" i="4" s="1"/>
  <c r="D29" i="4" s="1"/>
  <c r="V29" i="3"/>
  <c r="V25" i="3"/>
  <c r="V24" i="3"/>
  <c r="V23" i="3"/>
  <c r="V22" i="3"/>
  <c r="V21" i="3"/>
  <c r="V19" i="3"/>
  <c r="V17" i="3"/>
  <c r="V15" i="3"/>
  <c r="V14" i="3"/>
  <c r="V13" i="3"/>
  <c r="V12" i="3"/>
  <c r="V11" i="3"/>
  <c r="V10" i="3"/>
  <c r="V9" i="3"/>
  <c r="V8" i="3"/>
  <c r="Z23" i="4"/>
  <c r="Z16" i="4"/>
  <c r="Z15" i="4"/>
  <c r="Z13" i="4"/>
  <c r="Z10" i="4"/>
  <c r="FR14" i="2"/>
  <c r="CC27" i="2"/>
  <c r="CC22" i="2"/>
  <c r="CC14" i="2"/>
  <c r="FL33" i="2"/>
  <c r="BT23" i="2"/>
  <c r="AP38" i="3" l="1"/>
  <c r="E48" i="8" s="1"/>
  <c r="G48" i="8" s="1"/>
  <c r="CA14" i="2"/>
  <c r="CC30" i="2"/>
  <c r="CC37" i="2" s="1"/>
  <c r="BU38" i="2" s="1"/>
  <c r="E60" i="8" s="1"/>
  <c r="B16" i="4"/>
  <c r="QU20" i="2" s="1"/>
  <c r="AB16" i="4"/>
  <c r="D16" i="4" s="1"/>
  <c r="QW20" i="2" s="1"/>
  <c r="FK33" i="2"/>
  <c r="FL34" i="2"/>
  <c r="FL37" i="2" s="1"/>
  <c r="B15" i="4"/>
  <c r="QU19" i="2" s="1"/>
  <c r="AB15" i="4"/>
  <c r="D15" i="4" s="1"/>
  <c r="QW19" i="2" s="1"/>
  <c r="BS23" i="2"/>
  <c r="BS30" i="2" s="1"/>
  <c r="BS37" i="2" s="1"/>
  <c r="BT30" i="2"/>
  <c r="CA27" i="2"/>
  <c r="FR30" i="2"/>
  <c r="FR37" i="2" s="1"/>
  <c r="FQ14" i="2"/>
  <c r="B13" i="4"/>
  <c r="QU17" i="2" s="1"/>
  <c r="AB13" i="4"/>
  <c r="D13" i="4" s="1"/>
  <c r="QW17" i="2" s="1"/>
  <c r="V26" i="3"/>
  <c r="CA22" i="2"/>
  <c r="AB10" i="4"/>
  <c r="B10" i="4"/>
  <c r="Z26" i="4"/>
  <c r="V36" i="3" s="1"/>
  <c r="B36" i="3" s="1"/>
  <c r="AB23" i="4"/>
  <c r="D23" i="4" s="1"/>
  <c r="QW27" i="2" s="1"/>
  <c r="B23" i="4"/>
  <c r="QU27" i="2" s="1"/>
  <c r="B29" i="3"/>
  <c r="V30" i="3"/>
  <c r="B42" i="3"/>
  <c r="H48" i="8" l="1"/>
  <c r="E51" i="8"/>
  <c r="H51" i="8" s="1"/>
  <c r="E40" i="8"/>
  <c r="H40" i="8" s="1"/>
  <c r="D10" i="4"/>
  <c r="AB26" i="4"/>
  <c r="I48" i="8"/>
  <c r="G40" i="8"/>
  <c r="CA30" i="2"/>
  <c r="CA37" i="2" s="1"/>
  <c r="N42" i="1" s="1"/>
  <c r="CK14" i="2"/>
  <c r="QU14" i="2"/>
  <c r="QU30" i="2" s="1"/>
  <c r="QU37" i="2" s="1"/>
  <c r="B26" i="4"/>
  <c r="BS54" i="2"/>
  <c r="BT37" i="2"/>
  <c r="G60" i="8"/>
  <c r="H60" i="8"/>
  <c r="E61" i="8"/>
  <c r="CK22" i="2"/>
  <c r="CI22" i="2" s="1"/>
  <c r="FY14" i="2"/>
  <c r="FQ30" i="2"/>
  <c r="FQ37" i="2" s="1"/>
  <c r="N51" i="1" s="1"/>
  <c r="FK34" i="2"/>
  <c r="FK37" i="2" s="1"/>
  <c r="V33" i="3"/>
  <c r="V38" i="3" s="1"/>
  <c r="AM38" i="2" s="1"/>
  <c r="E502" i="8" s="1"/>
  <c r="QS33" i="2"/>
  <c r="B30" i="3"/>
  <c r="CK27" i="2"/>
  <c r="CI27" i="2" s="1"/>
  <c r="FL38" i="2"/>
  <c r="E192" i="8" s="1"/>
  <c r="G51" i="8" l="1"/>
  <c r="I51" i="8" s="1"/>
  <c r="E43" i="8"/>
  <c r="H43" i="8" s="1"/>
  <c r="BS38" i="2"/>
  <c r="E195" i="8"/>
  <c r="H192" i="8"/>
  <c r="G192" i="8"/>
  <c r="QS34" i="2"/>
  <c r="FW14" i="2"/>
  <c r="FW30" i="2" s="1"/>
  <c r="FW37" i="2" s="1"/>
  <c r="FY30" i="2"/>
  <c r="FY37" i="2" s="1"/>
  <c r="BS53" i="2"/>
  <c r="BS57" i="2" s="1"/>
  <c r="BT38" i="2"/>
  <c r="E57" i="8" s="1"/>
  <c r="QW14" i="2"/>
  <c r="QW30" i="2" s="1"/>
  <c r="QW37" i="2" s="1"/>
  <c r="D26" i="4"/>
  <c r="E54" i="8"/>
  <c r="H54" i="8" s="1"/>
  <c r="H61" i="8"/>
  <c r="G61" i="8"/>
  <c r="N54" i="1"/>
  <c r="CK30" i="2"/>
  <c r="CK37" i="2" s="1"/>
  <c r="CI14" i="2"/>
  <c r="CI30" i="2" s="1"/>
  <c r="CI37" i="2" s="1"/>
  <c r="I60" i="8"/>
  <c r="I40" i="8"/>
  <c r="G43" i="8"/>
  <c r="I43" i="8" s="1"/>
  <c r="I61" i="8" l="1"/>
  <c r="G54" i="8"/>
  <c r="I54" i="8" s="1"/>
  <c r="H195" i="8"/>
  <c r="G57" i="8"/>
  <c r="H57" i="8"/>
  <c r="E59" i="8"/>
  <c r="E53" i="8"/>
  <c r="H53" i="8" s="1"/>
  <c r="G195" i="8"/>
  <c r="I195" i="8" s="1"/>
  <c r="I192" i="8"/>
  <c r="D17" i="16" l="1"/>
  <c r="E55" i="8"/>
  <c r="H59" i="8"/>
  <c r="G59" i="8"/>
  <c r="I57" i="8"/>
  <c r="G53" i="8"/>
  <c r="I53" i="8" s="1"/>
  <c r="H55" i="8" l="1"/>
  <c r="F17" i="16"/>
  <c r="I59" i="8"/>
  <c r="G55" i="8"/>
  <c r="I55" i="8" l="1"/>
  <c r="AV24" i="2" l="1"/>
  <c r="MN32" i="2"/>
  <c r="AX22" i="3"/>
  <c r="AJ21" i="3"/>
  <c r="AJ25" i="3"/>
  <c r="AJ24" i="3"/>
  <c r="AJ23" i="3"/>
  <c r="AJ22" i="3"/>
  <c r="AJ20" i="3"/>
  <c r="AJ19" i="3"/>
  <c r="AJ18" i="3"/>
  <c r="AJ17" i="3"/>
  <c r="AJ16" i="3"/>
  <c r="AJ14" i="3"/>
  <c r="AJ13" i="3"/>
  <c r="AJ12" i="3"/>
  <c r="AJ11" i="3"/>
  <c r="AJ10" i="3"/>
  <c r="AJ9" i="3"/>
  <c r="AJ8" i="3"/>
  <c r="DE27" i="2"/>
  <c r="DE22" i="2"/>
  <c r="DE14" i="2"/>
  <c r="DE13" i="2"/>
  <c r="DA27" i="2"/>
  <c r="DA22" i="2"/>
  <c r="DA14" i="2"/>
  <c r="DA13" i="2"/>
  <c r="CY33" i="2"/>
  <c r="CY32" i="2"/>
  <c r="CY18" i="2"/>
  <c r="DH33" i="2"/>
  <c r="R16" i="3"/>
  <c r="R25" i="3"/>
  <c r="R24" i="3"/>
  <c r="R23" i="3"/>
  <c r="R22" i="3"/>
  <c r="R21" i="3"/>
  <c r="R20" i="3"/>
  <c r="R19" i="3"/>
  <c r="R18" i="3"/>
  <c r="R17" i="3"/>
  <c r="R15" i="3"/>
  <c r="R14" i="3"/>
  <c r="R13" i="3"/>
  <c r="R12" i="3"/>
  <c r="R11" i="3"/>
  <c r="R10" i="3"/>
  <c r="R9" i="3"/>
  <c r="R8" i="3"/>
  <c r="FF33" i="2"/>
  <c r="AK20" i="3" l="1"/>
  <c r="AK11" i="3"/>
  <c r="AK16" i="3"/>
  <c r="AK25" i="3"/>
  <c r="AK9" i="3"/>
  <c r="AK13" i="3"/>
  <c r="AK18" i="3"/>
  <c r="AK23" i="3"/>
  <c r="AK10" i="3"/>
  <c r="AK14" i="3"/>
  <c r="AK19" i="3"/>
  <c r="AK24" i="3"/>
  <c r="AK8" i="3"/>
  <c r="AK12" i="3"/>
  <c r="AK17" i="3"/>
  <c r="AK22" i="3"/>
  <c r="AK21" i="3"/>
  <c r="S9" i="3"/>
  <c r="S16" i="3"/>
  <c r="S18" i="3"/>
  <c r="S17" i="3"/>
  <c r="S25" i="3"/>
  <c r="S13" i="3"/>
  <c r="S8" i="3"/>
  <c r="S21" i="3"/>
  <c r="S15" i="3"/>
  <c r="S22" i="3"/>
  <c r="S12" i="3"/>
  <c r="S11" i="3"/>
  <c r="S20" i="3"/>
  <c r="S24" i="3"/>
  <c r="S10" i="3"/>
  <c r="S14" i="3"/>
  <c r="S19" i="3"/>
  <c r="S23" i="3"/>
  <c r="FE33" i="2"/>
  <c r="FF34" i="2"/>
  <c r="FF37" i="2" s="1"/>
  <c r="E215" i="8" s="1"/>
  <c r="B15" i="3"/>
  <c r="QS19" i="2" s="1"/>
  <c r="DA30" i="2"/>
  <c r="DA37" i="2" s="1"/>
  <c r="DC13" i="2"/>
  <c r="B11" i="3"/>
  <c r="QS15" i="2" s="1"/>
  <c r="B16" i="3"/>
  <c r="QS20" i="2" s="1"/>
  <c r="B20" i="3"/>
  <c r="QS24" i="2" s="1"/>
  <c r="B25" i="3"/>
  <c r="QS29" i="2" s="1"/>
  <c r="AU24" i="2"/>
  <c r="AV30" i="2"/>
  <c r="AV37" i="2" s="1"/>
  <c r="BD24" i="2"/>
  <c r="DH34" i="2"/>
  <c r="DH37" i="2" s="1"/>
  <c r="E284" i="8" s="1"/>
  <c r="DG33" i="2"/>
  <c r="DC27" i="2"/>
  <c r="B10" i="3"/>
  <c r="QS14" i="2" s="1"/>
  <c r="B14" i="3"/>
  <c r="QS18" i="2" s="1"/>
  <c r="B19" i="3"/>
  <c r="QS23" i="2" s="1"/>
  <c r="B24" i="3"/>
  <c r="QS28" i="2" s="1"/>
  <c r="MN34" i="2"/>
  <c r="MN37" i="2" s="1"/>
  <c r="MN38" i="2" s="1"/>
  <c r="E164" i="8" s="1"/>
  <c r="MM32" i="2"/>
  <c r="MM34" i="2" s="1"/>
  <c r="MM37" i="2" s="1"/>
  <c r="CY34" i="2"/>
  <c r="CY55" i="2" s="1"/>
  <c r="DC22" i="2"/>
  <c r="B9" i="3"/>
  <c r="QS13" i="2" s="1"/>
  <c r="B13" i="3"/>
  <c r="QS17" i="2" s="1"/>
  <c r="B18" i="3"/>
  <c r="QS22" i="2" s="1"/>
  <c r="B23" i="3"/>
  <c r="QS27" i="2" s="1"/>
  <c r="AX26" i="3"/>
  <c r="AX33" i="3" s="1"/>
  <c r="AX38" i="3" s="1"/>
  <c r="E188" i="8" s="1"/>
  <c r="R26" i="3"/>
  <c r="R33" i="3" s="1"/>
  <c r="R38" i="3" s="1"/>
  <c r="E74" i="8" s="1"/>
  <c r="CY30" i="2"/>
  <c r="DC14" i="2"/>
  <c r="DE30" i="2"/>
  <c r="DE37" i="2" s="1"/>
  <c r="AJ26" i="3"/>
  <c r="AJ33" i="3" s="1"/>
  <c r="AJ38" i="3" s="1"/>
  <c r="E104" i="8" s="1"/>
  <c r="B8" i="3"/>
  <c r="B12" i="3"/>
  <c r="QS16" i="2" s="1"/>
  <c r="B17" i="3"/>
  <c r="QS21" i="2" s="1"/>
  <c r="B22" i="3"/>
  <c r="QS26" i="2" s="1"/>
  <c r="B21" i="3"/>
  <c r="QS25" i="2" s="1"/>
  <c r="C8" i="3" l="1"/>
  <c r="AK26" i="3"/>
  <c r="AK33" i="3" s="1"/>
  <c r="AK38" i="3" s="1"/>
  <c r="S26" i="3"/>
  <c r="S33" i="3" s="1"/>
  <c r="S38" i="3" s="1"/>
  <c r="F74" i="8" s="1"/>
  <c r="H74" i="8" s="1"/>
  <c r="AI33" i="2"/>
  <c r="AI32" i="2"/>
  <c r="C23" i="3"/>
  <c r="QT27" i="2" s="1"/>
  <c r="C14" i="3"/>
  <c r="QT18" i="2" s="1"/>
  <c r="C24" i="3"/>
  <c r="QT28" i="2" s="1"/>
  <c r="C11" i="3"/>
  <c r="QT15" i="2" s="1"/>
  <c r="C22" i="3"/>
  <c r="QT26" i="2" s="1"/>
  <c r="C15" i="3"/>
  <c r="QT19" i="2" s="1"/>
  <c r="C9" i="3"/>
  <c r="QT13" i="2" s="1"/>
  <c r="C17" i="3"/>
  <c r="QT21" i="2" s="1"/>
  <c r="C19" i="3"/>
  <c r="QT23" i="2" s="1"/>
  <c r="C10" i="3"/>
  <c r="QT14" i="2" s="1"/>
  <c r="C20" i="3"/>
  <c r="QT24" i="2" s="1"/>
  <c r="C12" i="3"/>
  <c r="QT16" i="2" s="1"/>
  <c r="C21" i="3"/>
  <c r="QT25" i="2" s="1"/>
  <c r="C13" i="3"/>
  <c r="QT17" i="2" s="1"/>
  <c r="C16" i="3"/>
  <c r="QT20" i="2" s="1"/>
  <c r="C25" i="3"/>
  <c r="QT29" i="2" s="1"/>
  <c r="C18" i="3"/>
  <c r="QT22" i="2" s="1"/>
  <c r="QT12" i="2"/>
  <c r="CY54" i="2"/>
  <c r="B54" i="2" s="1"/>
  <c r="D54" i="2" s="1"/>
  <c r="F75" i="1" s="1"/>
  <c r="CY37" i="2"/>
  <c r="CY38" i="2" s="1"/>
  <c r="E75" i="8"/>
  <c r="G74" i="8"/>
  <c r="I74" i="8" s="1"/>
  <c r="BC24" i="2"/>
  <c r="BC30" i="2" s="1"/>
  <c r="BC37" i="2" s="1"/>
  <c r="BD30" i="2"/>
  <c r="BD37" i="2" s="1"/>
  <c r="AV59" i="2" s="1"/>
  <c r="AU59" i="2" s="1"/>
  <c r="N45" i="1"/>
  <c r="CY56" i="2"/>
  <c r="FE34" i="2"/>
  <c r="FE37" i="2" s="1"/>
  <c r="QS12" i="2"/>
  <c r="B26" i="3"/>
  <c r="B33" i="3" s="1"/>
  <c r="B38" i="3" s="1"/>
  <c r="H215" i="8"/>
  <c r="G215" i="8"/>
  <c r="E218" i="8"/>
  <c r="E201" i="8"/>
  <c r="DC30" i="2"/>
  <c r="DC37" i="2" s="1"/>
  <c r="CY59" i="2" s="1"/>
  <c r="CY60" i="2"/>
  <c r="B60" i="2" s="1"/>
  <c r="D60" i="2" s="1"/>
  <c r="I75" i="1" s="1"/>
  <c r="E191" i="8"/>
  <c r="H191" i="8" s="1"/>
  <c r="G188" i="8"/>
  <c r="H188" i="8"/>
  <c r="E183" i="8"/>
  <c r="H284" i="8"/>
  <c r="G284" i="8"/>
  <c r="E227" i="8"/>
  <c r="E286" i="8"/>
  <c r="AU30" i="2"/>
  <c r="AU37" i="2" s="1"/>
  <c r="N43" i="1" s="1"/>
  <c r="E70" i="8"/>
  <c r="G104" i="8"/>
  <c r="E105" i="8"/>
  <c r="G164" i="8"/>
  <c r="H164" i="8"/>
  <c r="E167" i="8"/>
  <c r="DG34" i="2"/>
  <c r="AV53" i="2"/>
  <c r="AU53" i="2" s="1"/>
  <c r="AL38" i="2"/>
  <c r="E332" i="8" s="1"/>
  <c r="AV56" i="2"/>
  <c r="AU56" i="2" s="1"/>
  <c r="AK40" i="3" l="1"/>
  <c r="F104" i="8"/>
  <c r="F70" i="8" s="1"/>
  <c r="H70" i="8" s="1"/>
  <c r="S40" i="3"/>
  <c r="AI34" i="2"/>
  <c r="AI44" i="2" s="1"/>
  <c r="C26" i="3"/>
  <c r="C33" i="3" s="1"/>
  <c r="C38" i="3" s="1"/>
  <c r="D32" i="1"/>
  <c r="D31" i="1"/>
  <c r="F75" i="8"/>
  <c r="QT30" i="2"/>
  <c r="QT37" i="2" s="1"/>
  <c r="QT38" i="2" s="1"/>
  <c r="G70" i="8"/>
  <c r="I70" i="8" s="1"/>
  <c r="I104" i="8"/>
  <c r="G227" i="8"/>
  <c r="I284" i="8"/>
  <c r="G183" i="8"/>
  <c r="I188" i="8"/>
  <c r="G191" i="8"/>
  <c r="I191" i="8" s="1"/>
  <c r="E204" i="8"/>
  <c r="H204" i="8" s="1"/>
  <c r="H201" i="8"/>
  <c r="G167" i="8"/>
  <c r="I167" i="8" s="1"/>
  <c r="H167" i="8"/>
  <c r="E470" i="8"/>
  <c r="G105" i="8"/>
  <c r="E71" i="8"/>
  <c r="H227" i="8"/>
  <c r="E120" i="8"/>
  <c r="E108" i="8" s="1"/>
  <c r="CY53" i="2"/>
  <c r="H332" i="8"/>
  <c r="E334" i="8"/>
  <c r="G332" i="8"/>
  <c r="D10" i="16"/>
  <c r="H286" i="8"/>
  <c r="E229" i="8"/>
  <c r="H229" i="8" s="1"/>
  <c r="G286" i="8"/>
  <c r="H183" i="8"/>
  <c r="E186" i="8"/>
  <c r="H186" i="8" s="1"/>
  <c r="G201" i="8"/>
  <c r="I215" i="8"/>
  <c r="G75" i="8"/>
  <c r="I75" i="8" s="1"/>
  <c r="DG37" i="2"/>
  <c r="DG53" i="2" s="1"/>
  <c r="DG55" i="2"/>
  <c r="B55" i="2" s="1"/>
  <c r="D55" i="2" s="1"/>
  <c r="D75" i="1" s="1"/>
  <c r="I164" i="8"/>
  <c r="H218" i="8"/>
  <c r="G218" i="8"/>
  <c r="I218" i="8" s="1"/>
  <c r="QS30" i="2"/>
  <c r="QS37" i="2" s="1"/>
  <c r="QS38" i="2" s="1"/>
  <c r="CY61" i="2"/>
  <c r="F105" i="8" l="1"/>
  <c r="H105" i="8" s="1"/>
  <c r="H104" i="8"/>
  <c r="J32" i="1"/>
  <c r="BL32" i="1" s="1"/>
  <c r="BK32" i="1"/>
  <c r="D33" i="1"/>
  <c r="BK33" i="1" s="1"/>
  <c r="J31" i="1"/>
  <c r="BL31" i="1" s="1"/>
  <c r="BK31" i="1"/>
  <c r="H75" i="8"/>
  <c r="G204" i="8"/>
  <c r="I204" i="8" s="1"/>
  <c r="I201" i="8"/>
  <c r="G229" i="8"/>
  <c r="I229" i="8" s="1"/>
  <c r="I286" i="8"/>
  <c r="F10" i="16"/>
  <c r="H120" i="8"/>
  <c r="G120" i="8"/>
  <c r="G108" i="8" s="1"/>
  <c r="E122" i="8"/>
  <c r="E110" i="8" s="1"/>
  <c r="E111" i="8" s="1"/>
  <c r="E327" i="8"/>
  <c r="H327" i="8" s="1"/>
  <c r="D8" i="16"/>
  <c r="G334" i="8"/>
  <c r="H334" i="8"/>
  <c r="CY57" i="2"/>
  <c r="I227" i="8"/>
  <c r="E230" i="8"/>
  <c r="H230" i="8" s="1"/>
  <c r="I332" i="8"/>
  <c r="I105" i="8"/>
  <c r="G71" i="8"/>
  <c r="I71" i="8" s="1"/>
  <c r="I183" i="8"/>
  <c r="G186" i="8"/>
  <c r="I186" i="8" s="1"/>
  <c r="F71" i="8" l="1"/>
  <c r="H71" i="8" s="1"/>
  <c r="J33" i="1"/>
  <c r="BL33" i="1" s="1"/>
  <c r="G230" i="8"/>
  <c r="I230" i="8" s="1"/>
  <c r="I120" i="8"/>
  <c r="G327" i="8"/>
  <c r="I327" i="8" s="1"/>
  <c r="F8" i="16"/>
  <c r="I334" i="8"/>
  <c r="G122" i="8"/>
  <c r="G110" i="8" s="1"/>
  <c r="G111" i="8" s="1"/>
  <c r="H122" i="8"/>
  <c r="H111" i="8"/>
  <c r="D13" i="16"/>
  <c r="H108" i="8"/>
  <c r="D73" i="1" l="1"/>
  <c r="H110" i="8"/>
  <c r="I108" i="8"/>
  <c r="I122" i="8"/>
  <c r="F13" i="16"/>
  <c r="I110" i="8" l="1"/>
  <c r="I111" i="8"/>
  <c r="OB26" i="2" l="1"/>
  <c r="OB27" i="2"/>
  <c r="OP26" i="2" l="1"/>
  <c r="OP27" i="2"/>
  <c r="OC27" i="2"/>
  <c r="NY27" i="2" s="1"/>
  <c r="OC26" i="2"/>
  <c r="BJ25" i="6" l="1"/>
  <c r="OQ26" i="2"/>
  <c r="IE24" i="17" s="1"/>
  <c r="OQ27" i="2"/>
  <c r="IE25" i="17" s="1"/>
  <c r="O25" i="17" s="1"/>
  <c r="BJ26" i="6"/>
  <c r="OM27" i="2" l="1"/>
  <c r="D25" i="17"/>
  <c r="B25" i="17" s="1"/>
  <c r="IC24" i="17"/>
  <c r="D26" i="6"/>
  <c r="IC25" i="17"/>
  <c r="M25" i="17" s="1"/>
  <c r="K25" i="17" l="1"/>
  <c r="DG26" i="6"/>
  <c r="B26" i="6"/>
  <c r="OB29" i="2" l="1"/>
  <c r="OB28" i="2"/>
  <c r="OB25" i="2"/>
  <c r="OB24" i="2"/>
  <c r="OB23" i="2"/>
  <c r="OB22" i="2"/>
  <c r="OB21" i="2"/>
  <c r="OB20" i="2"/>
  <c r="OB19" i="2"/>
  <c r="OB18" i="2"/>
  <c r="OB17" i="2"/>
  <c r="OB16" i="2"/>
  <c r="OB15" i="2"/>
  <c r="OB14" i="2"/>
  <c r="OB13" i="2"/>
  <c r="OB12" i="2"/>
  <c r="OC16" i="2"/>
  <c r="OC29" i="2"/>
  <c r="OC28" i="2"/>
  <c r="OC25" i="2"/>
  <c r="OC24" i="2"/>
  <c r="OC23" i="2"/>
  <c r="OC22" i="2"/>
  <c r="OC21" i="2"/>
  <c r="OC20" i="2"/>
  <c r="OC19" i="2"/>
  <c r="OC18" i="2"/>
  <c r="OC17" i="2"/>
  <c r="OC15" i="2"/>
  <c r="OC14" i="2"/>
  <c r="OC13" i="2"/>
  <c r="OC12" i="2"/>
  <c r="NY15" i="2" l="1"/>
  <c r="NY19" i="2"/>
  <c r="NY23" i="2"/>
  <c r="NY29" i="2"/>
  <c r="NY14" i="2"/>
  <c r="NY18" i="2"/>
  <c r="NY22" i="2"/>
  <c r="NY13" i="2"/>
  <c r="NY17" i="2"/>
  <c r="NY21" i="2"/>
  <c r="NY25" i="2"/>
  <c r="NY12" i="2"/>
  <c r="NY20" i="2"/>
  <c r="NY24" i="2"/>
  <c r="BJ23" i="6"/>
  <c r="OQ24" i="2"/>
  <c r="IE22" i="17" s="1"/>
  <c r="O22" i="17" s="1"/>
  <c r="OP15" i="2"/>
  <c r="OP19" i="2"/>
  <c r="OP23" i="2"/>
  <c r="OP29" i="2"/>
  <c r="OQ15" i="2"/>
  <c r="IE13" i="17" s="1"/>
  <c r="O13" i="17" s="1"/>
  <c r="BJ14" i="6"/>
  <c r="BJ18" i="6"/>
  <c r="IC17" i="17" s="1"/>
  <c r="OQ19" i="2"/>
  <c r="IE17" i="17" s="1"/>
  <c r="OQ29" i="2"/>
  <c r="IE27" i="17" s="1"/>
  <c r="BJ28" i="6"/>
  <c r="IC27" i="17" s="1"/>
  <c r="OP14" i="2"/>
  <c r="OP18" i="2"/>
  <c r="OP22" i="2"/>
  <c r="OP28" i="2"/>
  <c r="BJ15" i="6"/>
  <c r="OQ16" i="2"/>
  <c r="IE14" i="17" s="1"/>
  <c r="OQ23" i="2"/>
  <c r="IE21" i="17" s="1"/>
  <c r="O21" i="17" s="1"/>
  <c r="BJ22" i="6"/>
  <c r="OQ18" i="2"/>
  <c r="IE16" i="17" s="1"/>
  <c r="O16" i="17" s="1"/>
  <c r="BJ17" i="6"/>
  <c r="BJ21" i="6"/>
  <c r="IC20" i="17" s="1"/>
  <c r="OQ22" i="2"/>
  <c r="IE20" i="17" s="1"/>
  <c r="OQ28" i="2"/>
  <c r="IE26" i="17" s="1"/>
  <c r="BJ27" i="6"/>
  <c r="OP13" i="2"/>
  <c r="OP17" i="2"/>
  <c r="OP21" i="2"/>
  <c r="OP25" i="2"/>
  <c r="OQ20" i="2"/>
  <c r="IE18" i="17" s="1"/>
  <c r="O18" i="17" s="1"/>
  <c r="BJ19" i="6"/>
  <c r="BJ13" i="6"/>
  <c r="OQ14" i="2"/>
  <c r="IE12" i="17" s="1"/>
  <c r="O12" i="17" s="1"/>
  <c r="OQ13" i="2"/>
  <c r="IE11" i="17" s="1"/>
  <c r="BJ12" i="6"/>
  <c r="IC11" i="17" s="1"/>
  <c r="BJ11" i="6"/>
  <c r="OQ12" i="2"/>
  <c r="OC30" i="2"/>
  <c r="OC37" i="2" s="1"/>
  <c r="OQ17" i="2"/>
  <c r="IE15" i="17" s="1"/>
  <c r="O15" i="17" s="1"/>
  <c r="BJ16" i="6"/>
  <c r="BJ20" i="6"/>
  <c r="OQ21" i="2"/>
  <c r="IE19" i="17" s="1"/>
  <c r="O19" i="17" s="1"/>
  <c r="OQ25" i="2"/>
  <c r="IE23" i="17" s="1"/>
  <c r="O23" i="17" s="1"/>
  <c r="BJ24" i="6"/>
  <c r="OB30" i="2"/>
  <c r="OB37" i="2" s="1"/>
  <c r="E176" i="8" s="1"/>
  <c r="OP12" i="2"/>
  <c r="OM12" i="2" s="1"/>
  <c r="OP16" i="2"/>
  <c r="OP20" i="2"/>
  <c r="OP24" i="2"/>
  <c r="OM24" i="2" s="1"/>
  <c r="OM18" i="2" l="1"/>
  <c r="OM22" i="2"/>
  <c r="OM25" i="2"/>
  <c r="OM20" i="2"/>
  <c r="OM21" i="2"/>
  <c r="OM14" i="2"/>
  <c r="OM23" i="2"/>
  <c r="OM29" i="2"/>
  <c r="OM13" i="2"/>
  <c r="OM15" i="2"/>
  <c r="OM17" i="2"/>
  <c r="OM19" i="2"/>
  <c r="D16" i="17"/>
  <c r="B16" i="17" s="1"/>
  <c r="D22" i="17"/>
  <c r="B22" i="17" s="1"/>
  <c r="D18" i="17"/>
  <c r="B18" i="17" s="1"/>
  <c r="D21" i="17"/>
  <c r="B21" i="17" s="1"/>
  <c r="D13" i="17"/>
  <c r="B13" i="17" s="1"/>
  <c r="D12" i="17"/>
  <c r="B12" i="17" s="1"/>
  <c r="D19" i="17"/>
  <c r="B19" i="17" s="1"/>
  <c r="D23" i="17"/>
  <c r="B23" i="17" s="1"/>
  <c r="D15" i="17"/>
  <c r="B15" i="17" s="1"/>
  <c r="IC23" i="17"/>
  <c r="M23" i="17" s="1"/>
  <c r="D24" i="6"/>
  <c r="IC15" i="17"/>
  <c r="M15" i="17" s="1"/>
  <c r="D16" i="6"/>
  <c r="BJ29" i="6"/>
  <c r="BJ36" i="6" s="1"/>
  <c r="D11" i="6"/>
  <c r="IC10" i="17"/>
  <c r="M10" i="17" s="1"/>
  <c r="IC12" i="17"/>
  <c r="M12" i="17" s="1"/>
  <c r="D13" i="6"/>
  <c r="IC14" i="17"/>
  <c r="D23" i="6"/>
  <c r="IC22" i="17"/>
  <c r="M22" i="17" s="1"/>
  <c r="E177" i="8"/>
  <c r="H176" i="8"/>
  <c r="G176" i="8"/>
  <c r="IC19" i="17"/>
  <c r="M19" i="17" s="1"/>
  <c r="D20" i="6"/>
  <c r="OQ30" i="2"/>
  <c r="OQ37" i="2" s="1"/>
  <c r="IE10" i="17"/>
  <c r="O10" i="17" s="1"/>
  <c r="IC26" i="17"/>
  <c r="D17" i="6"/>
  <c r="IC16" i="17"/>
  <c r="M16" i="17" s="1"/>
  <c r="OP30" i="2"/>
  <c r="OP37" i="2" s="1"/>
  <c r="E179" i="8"/>
  <c r="B37" i="7"/>
  <c r="IC18" i="17"/>
  <c r="M18" i="17" s="1"/>
  <c r="D19" i="6"/>
  <c r="IC21" i="17"/>
  <c r="M21" i="17" s="1"/>
  <c r="D22" i="6"/>
  <c r="IC13" i="17"/>
  <c r="M13" i="17" s="1"/>
  <c r="D14" i="6"/>
  <c r="K22" i="17" l="1"/>
  <c r="K16" i="17"/>
  <c r="K12" i="17"/>
  <c r="DG14" i="6"/>
  <c r="B14" i="6"/>
  <c r="E180" i="8"/>
  <c r="H180" i="8" s="1"/>
  <c r="G179" i="8"/>
  <c r="G155" i="8" s="1"/>
  <c r="H179" i="8"/>
  <c r="IE28" i="17"/>
  <c r="IE35" i="17" s="1"/>
  <c r="DG11" i="6"/>
  <c r="B11" i="6"/>
  <c r="DG24" i="6"/>
  <c r="B24" i="6"/>
  <c r="K21" i="17"/>
  <c r="K18" i="17"/>
  <c r="E155" i="8"/>
  <c r="DG19" i="6"/>
  <c r="B19" i="6"/>
  <c r="DG17" i="6"/>
  <c r="B17" i="6"/>
  <c r="H177" i="8"/>
  <c r="IC28" i="17"/>
  <c r="IC35" i="17" s="1"/>
  <c r="K19" i="17"/>
  <c r="K15" i="17"/>
  <c r="DG22" i="6"/>
  <c r="B22" i="6"/>
  <c r="DG20" i="6"/>
  <c r="B20" i="6"/>
  <c r="DG23" i="6"/>
  <c r="B23" i="6"/>
  <c r="DG16" i="6"/>
  <c r="B16" i="6"/>
  <c r="K13" i="17"/>
  <c r="G177" i="8"/>
  <c r="I176" i="8"/>
  <c r="DG13" i="6"/>
  <c r="B13" i="6"/>
  <c r="K23" i="17"/>
  <c r="IC36" i="17" l="1"/>
  <c r="E156" i="8"/>
  <c r="H156" i="8" s="1"/>
  <c r="I155" i="8"/>
  <c r="I177" i="8"/>
  <c r="K10" i="17"/>
  <c r="H155" i="8"/>
  <c r="D10" i="17"/>
  <c r="I179" i="8"/>
  <c r="G180" i="8"/>
  <c r="I180" i="8" s="1"/>
  <c r="E158" i="8" l="1"/>
  <c r="E456" i="8" s="1"/>
  <c r="B10" i="17"/>
  <c r="G156" i="8"/>
  <c r="H158" i="8" l="1"/>
  <c r="C17" i="15"/>
  <c r="E17" i="15" s="1"/>
  <c r="H456" i="8"/>
  <c r="E463" i="8"/>
  <c r="E464" i="8" s="1"/>
  <c r="I156" i="8"/>
  <c r="G158" i="8"/>
  <c r="I158" i="8" l="1"/>
  <c r="G456" i="8"/>
  <c r="I456" i="8" s="1"/>
  <c r="OE28" i="2" l="1"/>
  <c r="OE26" i="2"/>
  <c r="OE16" i="2"/>
  <c r="OD28" i="2"/>
  <c r="OD26" i="2"/>
  <c r="OD16" i="2"/>
  <c r="NY26" i="2" l="1"/>
  <c r="NY16" i="2"/>
  <c r="NY28" i="2"/>
  <c r="OD30" i="2"/>
  <c r="OD37" i="2" s="1"/>
  <c r="NT38" i="2" s="1"/>
  <c r="E446" i="8" s="1"/>
  <c r="OR16" i="2"/>
  <c r="OE30" i="2"/>
  <c r="OE37" i="2" s="1"/>
  <c r="NU38" i="2" s="1"/>
  <c r="BL15" i="6"/>
  <c r="OS16" i="2"/>
  <c r="OR28" i="2"/>
  <c r="OS28" i="2"/>
  <c r="JK26" i="17" s="1"/>
  <c r="O26" i="17" s="1"/>
  <c r="BL27" i="6"/>
  <c r="OR26" i="2"/>
  <c r="BL25" i="6"/>
  <c r="OS26" i="2"/>
  <c r="NY30" i="2" l="1"/>
  <c r="NY37" i="2" s="1"/>
  <c r="N50" i="1" s="1"/>
  <c r="JK24" i="17"/>
  <c r="O24" i="17" s="1"/>
  <c r="D24" i="17" s="1"/>
  <c r="B24" i="17" s="1"/>
  <c r="OM26" i="2"/>
  <c r="OM28" i="2"/>
  <c r="OM16" i="2"/>
  <c r="D26" i="17"/>
  <c r="B26" i="17" s="1"/>
  <c r="B39" i="7"/>
  <c r="E449" i="8"/>
  <c r="E436" i="8" s="1"/>
  <c r="JI14" i="17"/>
  <c r="M14" i="17" s="1"/>
  <c r="BL29" i="6"/>
  <c r="BL36" i="6" s="1"/>
  <c r="D15" i="6"/>
  <c r="G446" i="8"/>
  <c r="E448" i="8"/>
  <c r="H446" i="8"/>
  <c r="OS30" i="2"/>
  <c r="OS37" i="2" s="1"/>
  <c r="JK14" i="17"/>
  <c r="O14" i="17" s="1"/>
  <c r="OR30" i="2"/>
  <c r="OR37" i="2" s="1"/>
  <c r="JI24" i="17"/>
  <c r="M24" i="17" s="1"/>
  <c r="D25" i="6"/>
  <c r="JI26" i="17"/>
  <c r="M26" i="17" s="1"/>
  <c r="D27" i="6"/>
  <c r="OM30" i="2" l="1"/>
  <c r="OM37" i="2" s="1"/>
  <c r="K24" i="17"/>
  <c r="K26" i="17"/>
  <c r="DG25" i="6"/>
  <c r="B25" i="6"/>
  <c r="JK28" i="17"/>
  <c r="JK35" i="17" s="1"/>
  <c r="D14" i="17"/>
  <c r="B14" i="17" s="1"/>
  <c r="H436" i="8"/>
  <c r="DG15" i="6"/>
  <c r="B15" i="6"/>
  <c r="G449" i="8"/>
  <c r="G436" i="8" s="1"/>
  <c r="E451" i="8"/>
  <c r="H449" i="8"/>
  <c r="I446" i="8"/>
  <c r="DG27" i="6"/>
  <c r="B27" i="6"/>
  <c r="H448" i="8"/>
  <c r="G448" i="8"/>
  <c r="E469" i="8"/>
  <c r="JI28" i="17"/>
  <c r="JI35" i="17" s="1"/>
  <c r="K14" i="17"/>
  <c r="D23" i="16" l="1"/>
  <c r="D24" i="16" s="1"/>
  <c r="E476" i="8"/>
  <c r="JI36" i="17"/>
  <c r="I436" i="8"/>
  <c r="I448" i="8"/>
  <c r="I449" i="8"/>
  <c r="G451" i="8"/>
  <c r="E438" i="8"/>
  <c r="H451" i="8"/>
  <c r="D26" i="16" l="1"/>
  <c r="G438" i="8"/>
  <c r="I451" i="8"/>
  <c r="G476" i="8"/>
  <c r="F23" i="16"/>
  <c r="F24" i="16" s="1"/>
  <c r="H438" i="8"/>
  <c r="E455" i="8"/>
  <c r="I438" i="8" l="1"/>
  <c r="G455" i="8"/>
  <c r="I455" i="8" s="1"/>
  <c r="H455" i="8"/>
  <c r="E462" i="8"/>
  <c r="C16" i="15"/>
  <c r="E16" i="15" s="1"/>
  <c r="D25" i="16"/>
  <c r="F25" i="16" l="1"/>
  <c r="IT29" i="2" l="1"/>
  <c r="IW29" i="2" s="1"/>
  <c r="IT22" i="2"/>
  <c r="IT19" i="2"/>
  <c r="IW19" i="2" s="1"/>
  <c r="IU29" i="2"/>
  <c r="IX29" i="2" s="1"/>
  <c r="IU22" i="2"/>
  <c r="IU19" i="2"/>
  <c r="IX19" i="2" s="1"/>
  <c r="GU29" i="2"/>
  <c r="GU19" i="2"/>
  <c r="GU13" i="2"/>
  <c r="GT29" i="2"/>
  <c r="GT19" i="2"/>
  <c r="GT13" i="2"/>
  <c r="JD19" i="2" l="1"/>
  <c r="FO17" i="17" s="1"/>
  <c r="S17" i="17" s="1"/>
  <c r="H17" i="17" s="1"/>
  <c r="F17" i="17" s="1"/>
  <c r="AQ18" i="6"/>
  <c r="IV19" i="2"/>
  <c r="JC19" i="2"/>
  <c r="IW30" i="2"/>
  <c r="JC29" i="2"/>
  <c r="IV29" i="2"/>
  <c r="JD29" i="2"/>
  <c r="IX30" i="2"/>
  <c r="IX37" i="2" s="1"/>
  <c r="IR38" i="2" s="1"/>
  <c r="AQ28" i="6"/>
  <c r="IS19" i="2"/>
  <c r="IZ19" i="2"/>
  <c r="IT30" i="2"/>
  <c r="IT37" i="2" s="1"/>
  <c r="IN38" i="2" s="1"/>
  <c r="E344" i="8" s="1"/>
  <c r="GQ13" i="2"/>
  <c r="GT30" i="2"/>
  <c r="GT37" i="2" s="1"/>
  <c r="GJ38" i="2" s="1"/>
  <c r="E27" i="8" s="1"/>
  <c r="HD13" i="2"/>
  <c r="AF18" i="6"/>
  <c r="DU17" i="17" s="1"/>
  <c r="HE19" i="2"/>
  <c r="DW17" i="17" s="1"/>
  <c r="AP28" i="6"/>
  <c r="JA29" i="2"/>
  <c r="FK27" i="17" s="1"/>
  <c r="AF28" i="6"/>
  <c r="DU27" i="17" s="1"/>
  <c r="HE29" i="2"/>
  <c r="DW27" i="17" s="1"/>
  <c r="AF12" i="6"/>
  <c r="GU30" i="2"/>
  <c r="GU37" i="2" s="1"/>
  <c r="GK38" i="2" s="1"/>
  <c r="HE13" i="2"/>
  <c r="AP21" i="6"/>
  <c r="JA22" i="2"/>
  <c r="FK20" i="17" s="1"/>
  <c r="O20" i="17" s="1"/>
  <c r="IS29" i="2"/>
  <c r="IZ29" i="2"/>
  <c r="HD19" i="2"/>
  <c r="HA19" i="2" s="1"/>
  <c r="GQ19" i="2"/>
  <c r="HD29" i="2"/>
  <c r="GQ29" i="2"/>
  <c r="JA19" i="2"/>
  <c r="AP18" i="6"/>
  <c r="IU30" i="2"/>
  <c r="IU37" i="2" s="1"/>
  <c r="IO38" i="2" s="1"/>
  <c r="IS22" i="2"/>
  <c r="IZ22" i="2"/>
  <c r="IW37" i="2" l="1"/>
  <c r="IQ38" i="2" s="1"/>
  <c r="F344" i="8" s="1"/>
  <c r="H344" i="8" s="1"/>
  <c r="FM17" i="17"/>
  <c r="Q17" i="17" s="1"/>
  <c r="E18" i="6"/>
  <c r="C18" i="6" s="1"/>
  <c r="JB19" i="2"/>
  <c r="O27" i="17"/>
  <c r="D27" i="17" s="1"/>
  <c r="B27" i="17" s="1"/>
  <c r="D20" i="17"/>
  <c r="B20" i="17" s="1"/>
  <c r="IR42" i="2"/>
  <c r="F347" i="8"/>
  <c r="F348" i="8" s="1"/>
  <c r="F475" i="8" s="1"/>
  <c r="F478" i="8" s="1"/>
  <c r="F484" i="8" s="1"/>
  <c r="C25" i="7"/>
  <c r="C41" i="7" s="1"/>
  <c r="C67" i="7" s="1"/>
  <c r="FM27" i="17"/>
  <c r="Q27" i="17" s="1"/>
  <c r="E28" i="6"/>
  <c r="AQ29" i="6"/>
  <c r="AQ36" i="6" s="1"/>
  <c r="JB29" i="2"/>
  <c r="JC30" i="2"/>
  <c r="JC37" i="2" s="1"/>
  <c r="IV30" i="2"/>
  <c r="IV37" i="2" s="1"/>
  <c r="FO27" i="17"/>
  <c r="S27" i="17" s="1"/>
  <c r="JD30" i="2"/>
  <c r="JD37" i="2" s="1"/>
  <c r="IY22" i="2"/>
  <c r="E347" i="8"/>
  <c r="E325" i="8" s="1"/>
  <c r="B25" i="7"/>
  <c r="FI20" i="17"/>
  <c r="M20" i="17" s="1"/>
  <c r="D21" i="6"/>
  <c r="G27" i="8"/>
  <c r="E28" i="8"/>
  <c r="H27" i="8"/>
  <c r="IS30" i="2"/>
  <c r="IS37" i="2" s="1"/>
  <c r="AF29" i="6"/>
  <c r="AF36" i="6" s="1"/>
  <c r="DU11" i="17"/>
  <c r="M11" i="17" s="1"/>
  <c r="D12" i="6"/>
  <c r="FI27" i="17"/>
  <c r="M27" i="17" s="1"/>
  <c r="D28" i="6"/>
  <c r="HD30" i="2"/>
  <c r="HD37" i="2" s="1"/>
  <c r="HA13" i="2"/>
  <c r="IY19" i="2"/>
  <c r="IZ30" i="2"/>
  <c r="IZ37" i="2" s="1"/>
  <c r="FK17" i="17"/>
  <c r="FK28" i="17" s="1"/>
  <c r="FK35" i="17" s="1"/>
  <c r="JA30" i="2"/>
  <c r="JA37" i="2" s="1"/>
  <c r="B31" i="7"/>
  <c r="E30" i="8"/>
  <c r="E345" i="8"/>
  <c r="G344" i="8"/>
  <c r="FI17" i="17"/>
  <c r="M17" i="17" s="1"/>
  <c r="D18" i="6"/>
  <c r="AP29" i="6"/>
  <c r="AP36" i="6" s="1"/>
  <c r="HE30" i="2"/>
  <c r="HE37" i="2" s="1"/>
  <c r="DW11" i="17"/>
  <c r="O11" i="17" s="1"/>
  <c r="GQ30" i="2"/>
  <c r="GQ37" i="2" s="1"/>
  <c r="N46" i="1" s="1"/>
  <c r="HA29" i="2"/>
  <c r="IY29" i="2"/>
  <c r="JB30" i="2" l="1"/>
  <c r="JB37" i="2" s="1"/>
  <c r="IP59" i="2" s="1"/>
  <c r="C59" i="2" s="1"/>
  <c r="E59" i="2" s="1"/>
  <c r="L75" i="1" s="1"/>
  <c r="C75" i="1" s="1"/>
  <c r="L17" i="17"/>
  <c r="IQ42" i="2"/>
  <c r="O17" i="17"/>
  <c r="D17" i="17" s="1"/>
  <c r="B17" i="17" s="1"/>
  <c r="K27" i="17"/>
  <c r="F345" i="8"/>
  <c r="F325" i="8"/>
  <c r="F453" i="8" s="1"/>
  <c r="FO28" i="17"/>
  <c r="FO35" i="17" s="1"/>
  <c r="FM28" i="17"/>
  <c r="FM35" i="17" s="1"/>
  <c r="C28" i="6"/>
  <c r="C29" i="6" s="1"/>
  <c r="C36" i="6" s="1"/>
  <c r="E29" i="6"/>
  <c r="E36" i="6" s="1"/>
  <c r="IP56" i="2"/>
  <c r="IP38" i="2"/>
  <c r="IP53" i="2" s="1"/>
  <c r="AR52" i="1"/>
  <c r="K20" i="17"/>
  <c r="G345" i="8"/>
  <c r="I345" i="8" s="1"/>
  <c r="I344" i="8"/>
  <c r="DU28" i="17"/>
  <c r="DU35" i="17" s="1"/>
  <c r="I27" i="8"/>
  <c r="E348" i="8"/>
  <c r="G347" i="8"/>
  <c r="H347" i="8"/>
  <c r="DG12" i="6"/>
  <c r="B12" i="6"/>
  <c r="D29" i="6"/>
  <c r="IM38" i="2"/>
  <c r="IM53" i="2" s="1"/>
  <c r="N52" i="1"/>
  <c r="IM56" i="2"/>
  <c r="H28" i="8"/>
  <c r="G28" i="8"/>
  <c r="HA30" i="2"/>
  <c r="HA37" i="2" s="1"/>
  <c r="B41" i="7"/>
  <c r="B67" i="7" s="1"/>
  <c r="DW28" i="17"/>
  <c r="DW35" i="17" s="1"/>
  <c r="K17" i="17"/>
  <c r="FI28" i="17"/>
  <c r="FI35" i="17" s="1"/>
  <c r="FI36" i="17" s="1"/>
  <c r="H345" i="8"/>
  <c r="E468" i="8"/>
  <c r="E8" i="8"/>
  <c r="H8" i="8" s="1"/>
  <c r="E31" i="8"/>
  <c r="G30" i="8"/>
  <c r="I30" i="8" s="1"/>
  <c r="H30" i="8"/>
  <c r="IY30" i="2"/>
  <c r="IY37" i="2" s="1"/>
  <c r="IM59" i="2" s="1"/>
  <c r="B59" i="2" s="1"/>
  <c r="D59" i="2" s="1"/>
  <c r="K75" i="1" s="1"/>
  <c r="B75" i="1" s="1"/>
  <c r="DG18" i="6"/>
  <c r="B18" i="6"/>
  <c r="DG28" i="6"/>
  <c r="B28" i="6"/>
  <c r="DG21" i="6"/>
  <c r="B21" i="6"/>
  <c r="FM36" i="17" l="1"/>
  <c r="E37" i="6"/>
  <c r="E38" i="6"/>
  <c r="H27" i="17"/>
  <c r="S28" i="17"/>
  <c r="S35" i="17" s="1"/>
  <c r="C40" i="6"/>
  <c r="C37" i="6"/>
  <c r="IP61" i="2"/>
  <c r="C56" i="2"/>
  <c r="L27" i="17"/>
  <c r="Q28" i="17"/>
  <c r="IP57" i="2"/>
  <c r="C53" i="2"/>
  <c r="F468" i="8"/>
  <c r="F326" i="8"/>
  <c r="F454" i="8" s="1"/>
  <c r="H325" i="8"/>
  <c r="G348" i="8"/>
  <c r="I347" i="8"/>
  <c r="G31" i="8"/>
  <c r="I31" i="8" s="1"/>
  <c r="H31" i="8"/>
  <c r="IM57" i="2"/>
  <c r="B53" i="2"/>
  <c r="B29" i="6"/>
  <c r="B36" i="6" s="1"/>
  <c r="B37" i="6" s="1"/>
  <c r="G325" i="8"/>
  <c r="D11" i="17"/>
  <c r="O28" i="17"/>
  <c r="O35" i="17" s="1"/>
  <c r="I28" i="8"/>
  <c r="D36" i="6"/>
  <c r="DG29" i="6"/>
  <c r="E453" i="8"/>
  <c r="G8" i="8"/>
  <c r="I8" i="8" s="1"/>
  <c r="DU36" i="17"/>
  <c r="IM61" i="2"/>
  <c r="B56" i="2"/>
  <c r="E326" i="8"/>
  <c r="E475" i="8"/>
  <c r="E478" i="8" s="1"/>
  <c r="H348" i="8"/>
  <c r="K11" i="17"/>
  <c r="M28" i="17"/>
  <c r="E9" i="8"/>
  <c r="AZ61" i="2" l="1"/>
  <c r="AY61" i="2" s="1"/>
  <c r="AX61" i="2" s="1"/>
  <c r="AV61" i="2" s="1"/>
  <c r="AU61" i="2" s="1"/>
  <c r="AP61" i="2" s="1"/>
  <c r="AO61" i="2" s="1"/>
  <c r="AK61" i="2" s="1"/>
  <c r="AZ57" i="2"/>
  <c r="AY57" i="2" s="1"/>
  <c r="AX57" i="2" s="1"/>
  <c r="AV57" i="2" s="1"/>
  <c r="AU57" i="2" s="1"/>
  <c r="AP57" i="2" s="1"/>
  <c r="AO57" i="2" s="1"/>
  <c r="AK57" i="2" s="1"/>
  <c r="D15" i="15"/>
  <c r="F460" i="8"/>
  <c r="E53" i="2"/>
  <c r="C57" i="2"/>
  <c r="E57" i="2" s="1"/>
  <c r="F27" i="17"/>
  <c r="F28" i="17" s="1"/>
  <c r="F35" i="17" s="1"/>
  <c r="F37" i="17" s="1"/>
  <c r="H28" i="17"/>
  <c r="H35" i="17" s="1"/>
  <c r="H326" i="8"/>
  <c r="F457" i="8"/>
  <c r="Q35" i="17"/>
  <c r="L28" i="17"/>
  <c r="E56" i="2"/>
  <c r="E61" i="2" s="1"/>
  <c r="C61" i="2"/>
  <c r="G9" i="8"/>
  <c r="I9" i="8" s="1"/>
  <c r="K28" i="17"/>
  <c r="M35" i="17"/>
  <c r="I325" i="8"/>
  <c r="G453" i="8"/>
  <c r="G326" i="8"/>
  <c r="I326" i="8" s="1"/>
  <c r="G475" i="8"/>
  <c r="G478" i="8" s="1"/>
  <c r="I348" i="8"/>
  <c r="H9" i="8"/>
  <c r="E454" i="8"/>
  <c r="B57" i="2"/>
  <c r="D57" i="2" s="1"/>
  <c r="D53" i="2"/>
  <c r="D56" i="2"/>
  <c r="D61" i="2" s="1"/>
  <c r="B61" i="2"/>
  <c r="H453" i="8"/>
  <c r="D38" i="6"/>
  <c r="B38" i="6" s="1"/>
  <c r="D37" i="6"/>
  <c r="DG36" i="6"/>
  <c r="B11" i="17"/>
  <c r="B28" i="17" s="1"/>
  <c r="B35" i="17" s="1"/>
  <c r="D28" i="17"/>
  <c r="D35" i="17" s="1"/>
  <c r="B37" i="17" l="1"/>
  <c r="F36" i="17"/>
  <c r="B36" i="17"/>
  <c r="Q36" i="17"/>
  <c r="L35" i="17"/>
  <c r="Q37" i="17"/>
  <c r="C15" i="15"/>
  <c r="E15" i="15" s="1"/>
  <c r="E460" i="8"/>
  <c r="H454" i="8"/>
  <c r="H457" i="8" s="1"/>
  <c r="E19" i="9"/>
  <c r="I453" i="8"/>
  <c r="E457" i="8"/>
  <c r="G454" i="8"/>
  <c r="I454" i="8" s="1"/>
  <c r="M37" i="17"/>
  <c r="K35" i="17"/>
  <c r="M36" i="17"/>
  <c r="I457" i="8" l="1"/>
  <c r="G457" i="8"/>
  <c r="E45" i="11" l="1"/>
  <c r="SG38" i="2"/>
  <c r="P13" i="1" l="1"/>
  <c r="P21" i="1"/>
  <c r="P28" i="1"/>
  <c r="P18" i="1"/>
  <c r="P23" i="1"/>
  <c r="P27" i="1"/>
  <c r="P17" i="1"/>
  <c r="P25" i="1"/>
  <c r="P16" i="1"/>
  <c r="P26" i="1"/>
  <c r="P14" i="1"/>
  <c r="P22" i="1"/>
  <c r="N53" i="1"/>
  <c r="P19" i="1"/>
  <c r="P12" i="1"/>
  <c r="P20" i="1"/>
  <c r="P15" i="1"/>
  <c r="AI23" i="2"/>
  <c r="D22" i="1" s="1"/>
  <c r="AI46" i="2"/>
  <c r="AI19" i="2"/>
  <c r="AI29" i="2"/>
  <c r="AI25" i="2"/>
  <c r="P24" i="1"/>
  <c r="AI24" i="2"/>
  <c r="AI14" i="2"/>
  <c r="AI17" i="2"/>
  <c r="AI20" i="2"/>
  <c r="AI16" i="2"/>
  <c r="AI13" i="2"/>
  <c r="AI18" i="2"/>
  <c r="AI28" i="2"/>
  <c r="AI26" i="2"/>
  <c r="D25" i="1" s="1"/>
  <c r="P11" i="1"/>
  <c r="AI21" i="2"/>
  <c r="AI27" i="2"/>
  <c r="AI15" i="2"/>
  <c r="AI12" i="2"/>
  <c r="AI22" i="2"/>
  <c r="D19" i="1" l="1"/>
  <c r="D24" i="1"/>
  <c r="BK25" i="1"/>
  <c r="J25" i="1"/>
  <c r="P29" i="1"/>
  <c r="P36" i="1" s="1"/>
  <c r="AI30" i="2"/>
  <c r="D26" i="1"/>
  <c r="D17" i="1"/>
  <c r="D15" i="1"/>
  <c r="D16" i="1"/>
  <c r="D28" i="1"/>
  <c r="D18" i="1"/>
  <c r="D14" i="1"/>
  <c r="D20" i="1"/>
  <c r="D27" i="1"/>
  <c r="D13" i="1"/>
  <c r="D23" i="1"/>
  <c r="BK19" i="1"/>
  <c r="BK22" i="1"/>
  <c r="J22" i="1"/>
  <c r="D21" i="1"/>
  <c r="D11" i="1"/>
  <c r="D12" i="1"/>
  <c r="BK24" i="1" l="1"/>
  <c r="J19" i="1"/>
  <c r="J24" i="1"/>
  <c r="BK12" i="1"/>
  <c r="J12" i="1"/>
  <c r="BL22" i="1"/>
  <c r="BK27" i="1"/>
  <c r="J27" i="1"/>
  <c r="BK18" i="1"/>
  <c r="J18" i="1"/>
  <c r="BK26" i="1"/>
  <c r="J26" i="1"/>
  <c r="BK13" i="1"/>
  <c r="J13" i="1"/>
  <c r="AI37" i="2"/>
  <c r="AI45" i="2"/>
  <c r="BK21" i="1"/>
  <c r="J21" i="1"/>
  <c r="BK23" i="1"/>
  <c r="J23" i="1"/>
  <c r="BK14" i="1"/>
  <c r="J14" i="1"/>
  <c r="BK16" i="1"/>
  <c r="J16" i="1"/>
  <c r="BK17" i="1"/>
  <c r="J17" i="1"/>
  <c r="BL25" i="1"/>
  <c r="BK11" i="1"/>
  <c r="D29" i="1"/>
  <c r="J11" i="1"/>
  <c r="BK20" i="1"/>
  <c r="J20" i="1"/>
  <c r="BK28" i="1"/>
  <c r="J28" i="1"/>
  <c r="BK15" i="1"/>
  <c r="J15" i="1"/>
  <c r="BL24" i="1" l="1"/>
  <c r="BL19" i="1"/>
  <c r="BK29" i="1"/>
  <c r="D36" i="1"/>
  <c r="BL17" i="1"/>
  <c r="BL16" i="1"/>
  <c r="BL23" i="1"/>
  <c r="BL13" i="1"/>
  <c r="BL14" i="1"/>
  <c r="E458" i="8"/>
  <c r="AI49" i="2"/>
  <c r="BL27" i="1"/>
  <c r="BL28" i="1"/>
  <c r="BL20" i="1"/>
  <c r="BL21" i="1"/>
  <c r="BL26" i="1"/>
  <c r="BL18" i="1"/>
  <c r="BL15" i="1"/>
  <c r="BL11" i="1"/>
  <c r="J29" i="1"/>
  <c r="BL12" i="1"/>
  <c r="BK36" i="1" l="1"/>
  <c r="BK37" i="1" s="1"/>
  <c r="BL29" i="1"/>
  <c r="J36" i="1"/>
  <c r="F73" i="1"/>
  <c r="BL36" i="1" l="1"/>
  <c r="BL37" i="1" s="1"/>
  <c r="AJ46" i="2" l="1"/>
  <c r="C46" i="2" s="1"/>
  <c r="AT21" i="1"/>
  <c r="AT14" i="1"/>
  <c r="AT28" i="1"/>
  <c r="AT18" i="1"/>
  <c r="AR53" i="1"/>
  <c r="AT22" i="1"/>
  <c r="AT27" i="1"/>
  <c r="AT13" i="1"/>
  <c r="AT24" i="1"/>
  <c r="AT16" i="1"/>
  <c r="AJ27" i="2"/>
  <c r="C27" i="2" s="1"/>
  <c r="AF26" i="1" s="1"/>
  <c r="AT20" i="1"/>
  <c r="AJ29" i="2"/>
  <c r="AH28" i="1" s="1"/>
  <c r="AT23" i="1"/>
  <c r="AJ14" i="2"/>
  <c r="C14" i="2" s="1"/>
  <c r="AF13" i="1" s="1"/>
  <c r="AJ25" i="2"/>
  <c r="C25" i="2" s="1"/>
  <c r="AF24" i="1" s="1"/>
  <c r="AJ28" i="2"/>
  <c r="C28" i="2" s="1"/>
  <c r="AF27" i="1" s="1"/>
  <c r="AJ22" i="2"/>
  <c r="AH21" i="1" s="1"/>
  <c r="AJ15" i="2"/>
  <c r="C15" i="2" s="1"/>
  <c r="AF14" i="1" s="1"/>
  <c r="AJ26" i="2"/>
  <c r="C26" i="2" s="1"/>
  <c r="AF25" i="1" s="1"/>
  <c r="AJ13" i="2"/>
  <c r="C13" i="2" s="1"/>
  <c r="AF12" i="1" s="1"/>
  <c r="AJ23" i="2"/>
  <c r="C23" i="2" s="1"/>
  <c r="AF22" i="1" s="1"/>
  <c r="AT12" i="1"/>
  <c r="AJ18" i="2"/>
  <c r="AH17" i="1" s="1"/>
  <c r="AJ19" i="2"/>
  <c r="C19" i="2" s="1"/>
  <c r="AF18" i="1" s="1"/>
  <c r="AJ20" i="2"/>
  <c r="C20" i="2" s="1"/>
  <c r="AF19" i="1" s="1"/>
  <c r="AJ12" i="2"/>
  <c r="AT19" i="1"/>
  <c r="AT26" i="1"/>
  <c r="AJ17" i="2"/>
  <c r="C17" i="2" s="1"/>
  <c r="AF16" i="1" s="1"/>
  <c r="AJ21" i="2"/>
  <c r="C21" i="2" s="1"/>
  <c r="AF20" i="1" s="1"/>
  <c r="AT11" i="1"/>
  <c r="AT15" i="1"/>
  <c r="AJ24" i="2"/>
  <c r="C24" i="2" s="1"/>
  <c r="AF23" i="1" s="1"/>
  <c r="AT17" i="1"/>
  <c r="AJ16" i="2"/>
  <c r="C16" i="2" s="1"/>
  <c r="AF15" i="1" s="1"/>
  <c r="AT25" i="1"/>
  <c r="AR11" i="1" l="1"/>
  <c r="AR13" i="1"/>
  <c r="AL13" i="1" s="1"/>
  <c r="AR18" i="1"/>
  <c r="AL18" i="1" s="1"/>
  <c r="AR25" i="1"/>
  <c r="AL25" i="1" s="1"/>
  <c r="AR23" i="1"/>
  <c r="AL23" i="1" s="1"/>
  <c r="AR14" i="1"/>
  <c r="AL14" i="1" s="1"/>
  <c r="AH20" i="1"/>
  <c r="AH16" i="1"/>
  <c r="C18" i="2"/>
  <c r="AF17" i="1" s="1"/>
  <c r="AH22" i="1"/>
  <c r="AH14" i="1"/>
  <c r="AH23" i="1"/>
  <c r="AH19" i="1"/>
  <c r="AJ30" i="2"/>
  <c r="AJ37" i="2" s="1"/>
  <c r="AN28" i="1"/>
  <c r="AN17" i="1"/>
  <c r="AN21" i="1"/>
  <c r="AR15" i="1"/>
  <c r="AL15" i="1" s="1"/>
  <c r="AR22" i="1"/>
  <c r="AL22" i="1" s="1"/>
  <c r="AH18" i="1"/>
  <c r="AH13" i="1"/>
  <c r="AH26" i="1"/>
  <c r="C29" i="2"/>
  <c r="AF28" i="1" s="1"/>
  <c r="C22" i="2"/>
  <c r="AF21" i="1" s="1"/>
  <c r="AR17" i="1"/>
  <c r="AR27" i="1"/>
  <c r="AL27" i="1" s="1"/>
  <c r="AT29" i="1"/>
  <c r="AT36" i="1" s="1"/>
  <c r="AH25" i="1"/>
  <c r="AH27" i="1"/>
  <c r="AH24" i="1"/>
  <c r="AR26" i="1"/>
  <c r="AL26" i="1" s="1"/>
  <c r="AR16" i="1"/>
  <c r="AL16" i="1" s="1"/>
  <c r="AR24" i="1"/>
  <c r="AL24" i="1" s="1"/>
  <c r="AR28" i="1"/>
  <c r="AR21" i="1"/>
  <c r="AR19" i="1"/>
  <c r="AL19" i="1" s="1"/>
  <c r="AR12" i="1"/>
  <c r="AR20" i="1"/>
  <c r="AL20" i="1" s="1"/>
  <c r="AH15" i="1"/>
  <c r="AH11" i="1"/>
  <c r="AH12" i="1"/>
  <c r="C12" i="2"/>
  <c r="AN22" i="1" l="1"/>
  <c r="AJ45" i="2"/>
  <c r="C45" i="2" s="1"/>
  <c r="AN23" i="1"/>
  <c r="AL17" i="1"/>
  <c r="AN19" i="1"/>
  <c r="AN20" i="1"/>
  <c r="AN14" i="1"/>
  <c r="AN16" i="1"/>
  <c r="AR29" i="1"/>
  <c r="AR36" i="1" s="1"/>
  <c r="AR37" i="1" s="1"/>
  <c r="AL12" i="1"/>
  <c r="AN12" i="1"/>
  <c r="AN24" i="1"/>
  <c r="AN26" i="1"/>
  <c r="F458" i="8"/>
  <c r="AJ39" i="2"/>
  <c r="C38" i="2" s="1"/>
  <c r="AL28" i="1"/>
  <c r="AH29" i="1"/>
  <c r="AH36" i="1" s="1"/>
  <c r="AN11" i="1"/>
  <c r="AN25" i="1"/>
  <c r="AN18" i="1"/>
  <c r="AL21" i="1"/>
  <c r="C30" i="2"/>
  <c r="C37" i="2" s="1"/>
  <c r="AF11" i="1"/>
  <c r="AN15" i="1"/>
  <c r="AN27" i="1"/>
  <c r="AN13" i="1"/>
  <c r="AJ49" i="2" l="1"/>
  <c r="AR61" i="1"/>
  <c r="AR38" i="1"/>
  <c r="AL11" i="1"/>
  <c r="AL29" i="1" s="1"/>
  <c r="AF29" i="1"/>
  <c r="AF36" i="1" s="1"/>
  <c r="AF37" i="1" s="1"/>
  <c r="AN29" i="1"/>
  <c r="C49" i="2"/>
  <c r="C40" i="2"/>
  <c r="C41" i="2" s="1"/>
  <c r="AN36" i="1" l="1"/>
  <c r="H73" i="1"/>
  <c r="AL36" i="1"/>
  <c r="H66" i="1"/>
  <c r="H81" i="1" l="1"/>
  <c r="AL38" i="1"/>
  <c r="AL37" i="1"/>
  <c r="AB20" i="1" l="1"/>
  <c r="AB17" i="1"/>
  <c r="V17" i="1" s="1"/>
  <c r="AB16" i="1"/>
  <c r="AB26" i="1"/>
  <c r="BN26" i="1" s="1"/>
  <c r="AB25" i="1"/>
  <c r="AB14" i="1"/>
  <c r="V14" i="1" s="1"/>
  <c r="AB13" i="1"/>
  <c r="AB12" i="1"/>
  <c r="AB15" i="1"/>
  <c r="BN15" i="1" s="1"/>
  <c r="AB19" i="1"/>
  <c r="V19" i="1" s="1"/>
  <c r="AB28" i="1"/>
  <c r="BN28" i="1" s="1"/>
  <c r="AB22" i="1"/>
  <c r="AB23" i="1"/>
  <c r="AB18" i="1"/>
  <c r="BN18" i="1" s="1"/>
  <c r="AB27" i="1"/>
  <c r="AB24" i="1"/>
  <c r="AB21" i="1"/>
  <c r="AB11" i="1"/>
  <c r="BN11" i="1" s="1"/>
  <c r="AI47" i="2"/>
  <c r="V26" i="1" l="1"/>
  <c r="BM26" i="1" s="1"/>
  <c r="BN23" i="1"/>
  <c r="V23" i="1"/>
  <c r="BM23" i="1" s="1"/>
  <c r="V28" i="1"/>
  <c r="V15" i="1"/>
  <c r="BM15" i="1" s="1"/>
  <c r="BM19" i="1"/>
  <c r="BM17" i="1"/>
  <c r="BM14" i="1"/>
  <c r="V21" i="1"/>
  <c r="V12" i="1"/>
  <c r="V25" i="1"/>
  <c r="BN19" i="1"/>
  <c r="BN25" i="1"/>
  <c r="BN13" i="1"/>
  <c r="V27" i="1"/>
  <c r="V20" i="1"/>
  <c r="AI48" i="2"/>
  <c r="AB29" i="1"/>
  <c r="V13" i="1"/>
  <c r="BN21" i="1"/>
  <c r="BN22" i="1"/>
  <c r="BN24" i="1"/>
  <c r="BN27" i="1"/>
  <c r="BN20" i="1"/>
  <c r="BN17" i="1"/>
  <c r="V11" i="1"/>
  <c r="V18" i="1"/>
  <c r="V22" i="1"/>
  <c r="BN12" i="1"/>
  <c r="BN14" i="1"/>
  <c r="V16" i="1"/>
  <c r="V24" i="1"/>
  <c r="BN16" i="1"/>
  <c r="BM28" i="1" l="1"/>
  <c r="BM22" i="1"/>
  <c r="AB36" i="1"/>
  <c r="BN29" i="1"/>
  <c r="BM27" i="1"/>
  <c r="BM12" i="1"/>
  <c r="BM24" i="1"/>
  <c r="V29" i="1"/>
  <c r="BM11" i="1"/>
  <c r="BM13" i="1"/>
  <c r="BM20" i="1"/>
  <c r="BM16" i="1"/>
  <c r="BM18" i="1"/>
  <c r="BM25" i="1"/>
  <c r="BM21" i="1"/>
  <c r="V36" i="1" l="1"/>
  <c r="BM29" i="1"/>
  <c r="I73" i="1"/>
  <c r="AB37" i="1"/>
  <c r="BN36" i="1"/>
  <c r="BN37" i="1" s="1"/>
  <c r="K73" i="1" l="1"/>
  <c r="BM36" i="1"/>
  <c r="BM37" i="1" s="1"/>
  <c r="BF26" i="1"/>
  <c r="AZ26" i="1" s="1"/>
  <c r="AX26" i="1" s="1"/>
  <c r="BF20" i="1"/>
  <c r="BD20" i="1" s="1"/>
  <c r="BF21" i="1"/>
  <c r="BD21" i="1" s="1"/>
  <c r="BF19" i="1"/>
  <c r="BD19" i="1" s="1"/>
  <c r="BF23" i="1"/>
  <c r="AZ23" i="1" s="1"/>
  <c r="AX23" i="1" s="1"/>
  <c r="BF17" i="1"/>
  <c r="AZ17" i="1" s="1"/>
  <c r="AX17" i="1" s="1"/>
  <c r="BF15" i="1"/>
  <c r="BD15" i="1" s="1"/>
  <c r="BF12" i="1"/>
  <c r="AZ12" i="1" s="1"/>
  <c r="AX12" i="1" s="1"/>
  <c r="AJ47" i="2"/>
  <c r="AJ48" i="2" s="1"/>
  <c r="C48" i="2" s="1"/>
  <c r="BF13" i="1"/>
  <c r="BD13" i="1" s="1"/>
  <c r="BF28" i="1"/>
  <c r="BD28" i="1" s="1"/>
  <c r="BF14" i="1"/>
  <c r="BD14" i="1" s="1"/>
  <c r="BF16" i="1"/>
  <c r="BD16" i="1" s="1"/>
  <c r="BF25" i="1"/>
  <c r="BD25" i="1" s="1"/>
  <c r="BF24" i="1"/>
  <c r="AZ24" i="1" s="1"/>
  <c r="AX24" i="1" s="1"/>
  <c r="BF18" i="1"/>
  <c r="BD18" i="1" s="1"/>
  <c r="BF22" i="1"/>
  <c r="BD22" i="1" s="1"/>
  <c r="BF11" i="1"/>
  <c r="BD11" i="1" s="1"/>
  <c r="BF27" i="1"/>
  <c r="AZ27" i="1" s="1"/>
  <c r="AX27" i="1" s="1"/>
  <c r="B73" i="1" l="1"/>
  <c r="AZ15" i="1"/>
  <c r="AX15" i="1" s="1"/>
  <c r="AZ18" i="1"/>
  <c r="AX18" i="1" s="1"/>
  <c r="AZ28" i="1"/>
  <c r="AX28" i="1" s="1"/>
  <c r="AZ21" i="1"/>
  <c r="AX21" i="1" s="1"/>
  <c r="AZ14" i="1"/>
  <c r="AX14" i="1" s="1"/>
  <c r="C47" i="2"/>
  <c r="AZ11" i="1"/>
  <c r="AZ25" i="1"/>
  <c r="AX25" i="1" s="1"/>
  <c r="AZ13" i="1"/>
  <c r="AX13" i="1" s="1"/>
  <c r="BD27" i="1"/>
  <c r="BD17" i="1"/>
  <c r="AZ19" i="1"/>
  <c r="AX19" i="1" s="1"/>
  <c r="BD23" i="1"/>
  <c r="AZ20" i="1"/>
  <c r="AX20" i="1" s="1"/>
  <c r="BD24" i="1"/>
  <c r="BD26" i="1"/>
  <c r="BF29" i="1"/>
  <c r="BF36" i="1" s="1"/>
  <c r="AZ22" i="1"/>
  <c r="AX22" i="1" s="1"/>
  <c r="AZ16" i="1"/>
  <c r="AX16" i="1" s="1"/>
  <c r="BD12" i="1"/>
  <c r="BD29" i="1" l="1"/>
  <c r="BD36" i="1" s="1"/>
  <c r="J66" i="1" s="1"/>
  <c r="AZ29" i="1"/>
  <c r="AZ36" i="1" s="1"/>
  <c r="L73" i="1" s="1"/>
  <c r="AX11" i="1"/>
  <c r="AX29" i="1" s="1"/>
  <c r="AX36" i="1" s="1"/>
  <c r="L66" i="1" s="1"/>
  <c r="J73" i="1"/>
  <c r="BF37" i="1"/>
  <c r="BD37" i="1" s="1"/>
  <c r="C66" i="1" l="1"/>
  <c r="C73" i="1"/>
  <c r="J81" i="1"/>
  <c r="L81" i="1"/>
  <c r="C81" i="1" l="1"/>
  <c r="AI38" i="2"/>
  <c r="PY40" i="2" l="1"/>
  <c r="PY42" i="2" s="1"/>
  <c r="E11" i="9" l="1"/>
  <c r="D11" i="9" s="1"/>
  <c r="AA15" i="2" l="1"/>
  <c r="AE15" i="2" s="1"/>
  <c r="AA22" i="2"/>
  <c r="AE22" i="2" s="1"/>
  <c r="AA14" i="2"/>
  <c r="AE14" i="2" s="1"/>
  <c r="AA25" i="2"/>
  <c r="AE25" i="2" s="1"/>
  <c r="AA26" i="2"/>
  <c r="AE26" i="2" s="1"/>
  <c r="AA24" i="2"/>
  <c r="AE24" i="2" s="1"/>
  <c r="AA18" i="2"/>
  <c r="AE18" i="2" s="1"/>
  <c r="AA16" i="2"/>
  <c r="AE16" i="2" s="1"/>
  <c r="AA13" i="2"/>
  <c r="AA27" i="2"/>
  <c r="AE27" i="2" s="1"/>
  <c r="AA17" i="2"/>
  <c r="AE17" i="2" s="1"/>
  <c r="AA29" i="2"/>
  <c r="AE29" i="2" s="1"/>
  <c r="AE13" i="2" l="1"/>
  <c r="AE30" i="2" s="1"/>
  <c r="AE37" i="2" s="1"/>
  <c r="AA30" i="2"/>
  <c r="AA37" i="2" s="1"/>
  <c r="N41" i="1" s="1"/>
  <c r="E9" i="9"/>
  <c r="D9" i="9" l="1"/>
  <c r="E10" i="9" l="1"/>
  <c r="D10" i="9" l="1"/>
  <c r="E12" i="9" l="1"/>
  <c r="D12" i="9" l="1"/>
  <c r="D15" i="9" s="1"/>
  <c r="E15" i="9"/>
  <c r="E21" i="9" s="1"/>
  <c r="H12" i="2" l="1"/>
  <c r="L12" i="2"/>
  <c r="F12" i="2"/>
  <c r="N12" i="2"/>
  <c r="P12" i="2"/>
  <c r="T12" i="2"/>
  <c r="H13" i="2"/>
  <c r="L13" i="2"/>
  <c r="F13" i="2"/>
  <c r="N13" i="2"/>
  <c r="P13" i="2"/>
  <c r="T13" i="2"/>
  <c r="AA12" i="1" s="1"/>
  <c r="Z12" i="1" s="1"/>
  <c r="H14" i="2"/>
  <c r="L14" i="2"/>
  <c r="F14" i="2"/>
  <c r="N14" i="2"/>
  <c r="P14" i="2"/>
  <c r="T14" i="2"/>
  <c r="AA13" i="1" s="1"/>
  <c r="Z13" i="1" s="1"/>
  <c r="H15" i="2"/>
  <c r="L15" i="2"/>
  <c r="F15" i="2"/>
  <c r="N15" i="2"/>
  <c r="P15" i="2"/>
  <c r="T15" i="2"/>
  <c r="H16" i="2"/>
  <c r="L16" i="2"/>
  <c r="F16" i="2"/>
  <c r="N16" i="2"/>
  <c r="P16" i="2"/>
  <c r="T16" i="2"/>
  <c r="H17" i="2"/>
  <c r="L17" i="2"/>
  <c r="F17" i="2"/>
  <c r="N17" i="2"/>
  <c r="P17" i="2"/>
  <c r="T17" i="2"/>
  <c r="AA16" i="1" s="1"/>
  <c r="Z16" i="1" s="1"/>
  <c r="H18" i="2"/>
  <c r="L18" i="2"/>
  <c r="F18" i="2"/>
  <c r="N18" i="2"/>
  <c r="P18" i="2"/>
  <c r="T18" i="2"/>
  <c r="AA17" i="1" s="1"/>
  <c r="Z17" i="1" s="1"/>
  <c r="H19" i="2"/>
  <c r="L19" i="2"/>
  <c r="F19" i="2"/>
  <c r="N19" i="2"/>
  <c r="P19" i="2"/>
  <c r="T19" i="2"/>
  <c r="H20" i="2"/>
  <c r="L20" i="2"/>
  <c r="F20" i="2"/>
  <c r="N20" i="2"/>
  <c r="P20" i="2"/>
  <c r="T20" i="2"/>
  <c r="AA19" i="1" s="1"/>
  <c r="Z19" i="1" s="1"/>
  <c r="H21" i="2"/>
  <c r="L21" i="2"/>
  <c r="F21" i="2"/>
  <c r="N21" i="2"/>
  <c r="P21" i="2"/>
  <c r="T21" i="2"/>
  <c r="AA20" i="1" s="1"/>
  <c r="Z20" i="1" s="1"/>
  <c r="H22" i="2"/>
  <c r="L22" i="2"/>
  <c r="F22" i="2"/>
  <c r="N22" i="2"/>
  <c r="P22" i="2"/>
  <c r="T22" i="2"/>
  <c r="AA21" i="1" s="1"/>
  <c r="Z21" i="1" s="1"/>
  <c r="H23" i="2"/>
  <c r="L23" i="2"/>
  <c r="F23" i="2"/>
  <c r="N23" i="2"/>
  <c r="P23" i="2"/>
  <c r="T23" i="2"/>
  <c r="AA22" i="1" s="1"/>
  <c r="Z22" i="1" s="1"/>
  <c r="H24" i="2"/>
  <c r="L24" i="2"/>
  <c r="F24" i="2"/>
  <c r="N24" i="2"/>
  <c r="P24" i="2"/>
  <c r="T24" i="2"/>
  <c r="AA23" i="1" s="1"/>
  <c r="Z23" i="1" s="1"/>
  <c r="H25" i="2"/>
  <c r="L25" i="2"/>
  <c r="F25" i="2"/>
  <c r="N25" i="2"/>
  <c r="P25" i="2"/>
  <c r="T25" i="2"/>
  <c r="AA24" i="1" s="1"/>
  <c r="Z24" i="1" s="1"/>
  <c r="H26" i="2"/>
  <c r="L26" i="2"/>
  <c r="F26" i="2"/>
  <c r="N26" i="2"/>
  <c r="P26" i="2"/>
  <c r="T26" i="2"/>
  <c r="AA25" i="1" s="1"/>
  <c r="Z25" i="1" s="1"/>
  <c r="H27" i="2"/>
  <c r="L27" i="2"/>
  <c r="F27" i="2"/>
  <c r="N27" i="2"/>
  <c r="P27" i="2"/>
  <c r="T27" i="2"/>
  <c r="AA26" i="1" s="1"/>
  <c r="Z26" i="1" s="1"/>
  <c r="H28" i="2"/>
  <c r="L28" i="2"/>
  <c r="F28" i="2"/>
  <c r="N28" i="2"/>
  <c r="P28" i="2"/>
  <c r="T28" i="2"/>
  <c r="AA27" i="1" s="1"/>
  <c r="Z27" i="1" s="1"/>
  <c r="H29" i="2"/>
  <c r="L29" i="2"/>
  <c r="F29" i="2"/>
  <c r="N29" i="2"/>
  <c r="P29" i="2"/>
  <c r="T29" i="2"/>
  <c r="AA28" i="1" s="1"/>
  <c r="Z28" i="1" s="1"/>
  <c r="F32" i="2"/>
  <c r="F33" i="2"/>
  <c r="N33" i="2"/>
  <c r="J17" i="2" l="1"/>
  <c r="J21" i="2"/>
  <c r="F34" i="2"/>
  <c r="D69" i="1" s="1"/>
  <c r="D29" i="2"/>
  <c r="C28" i="1" s="1"/>
  <c r="D23" i="2"/>
  <c r="C22" i="1" s="1"/>
  <c r="D21" i="2"/>
  <c r="B21" i="2" s="1"/>
  <c r="J18" i="2"/>
  <c r="D28" i="2"/>
  <c r="B28" i="2" s="1"/>
  <c r="J27" i="2"/>
  <c r="D24" i="2"/>
  <c r="C23" i="1" s="1"/>
  <c r="D14" i="2"/>
  <c r="O21" i="1"/>
  <c r="R22" i="2"/>
  <c r="C20" i="1"/>
  <c r="O13" i="1"/>
  <c r="R14" i="2"/>
  <c r="T30" i="2"/>
  <c r="AA11" i="1"/>
  <c r="J12" i="2"/>
  <c r="H30" i="2"/>
  <c r="H37" i="2" s="1"/>
  <c r="N39" i="1" s="1"/>
  <c r="J28" i="2"/>
  <c r="D25" i="2"/>
  <c r="J24" i="2"/>
  <c r="J20" i="2"/>
  <c r="AA15" i="1"/>
  <c r="Z15" i="1" s="1"/>
  <c r="J16" i="2"/>
  <c r="D13" i="2"/>
  <c r="O26" i="1"/>
  <c r="R27" i="2"/>
  <c r="R23" i="2"/>
  <c r="O22" i="1"/>
  <c r="R19" i="2"/>
  <c r="O18" i="1"/>
  <c r="R15" i="2"/>
  <c r="O14" i="1"/>
  <c r="C13" i="1"/>
  <c r="B14" i="2"/>
  <c r="J29" i="2"/>
  <c r="J25" i="2"/>
  <c r="D22" i="2"/>
  <c r="J13" i="2"/>
  <c r="R28" i="2"/>
  <c r="O27" i="1"/>
  <c r="R24" i="2"/>
  <c r="O23" i="1"/>
  <c r="R20" i="2"/>
  <c r="O19" i="1"/>
  <c r="R12" i="2"/>
  <c r="O11" i="1"/>
  <c r="D33" i="2"/>
  <c r="J26" i="2"/>
  <c r="J22" i="2"/>
  <c r="D19" i="2"/>
  <c r="D15" i="2"/>
  <c r="J14" i="2"/>
  <c r="L30" i="2"/>
  <c r="L37" i="2" s="1"/>
  <c r="I69" i="1" s="1"/>
  <c r="O28" i="1"/>
  <c r="R29" i="2"/>
  <c r="R25" i="2"/>
  <c r="O24" i="1"/>
  <c r="R21" i="2"/>
  <c r="O20" i="1"/>
  <c r="R13" i="2"/>
  <c r="O12" i="1"/>
  <c r="D12" i="2"/>
  <c r="F30" i="2"/>
  <c r="J23" i="2"/>
  <c r="D20" i="2"/>
  <c r="AA18" i="1"/>
  <c r="Z18" i="1" s="1"/>
  <c r="J19" i="2"/>
  <c r="AA14" i="1"/>
  <c r="Z14" i="1" s="1"/>
  <c r="J15" i="2"/>
  <c r="D27" i="2"/>
  <c r="N30" i="2"/>
  <c r="F70" i="1" s="1"/>
  <c r="O25" i="1"/>
  <c r="D26" i="2"/>
  <c r="R26" i="2"/>
  <c r="D18" i="2"/>
  <c r="R18" i="2"/>
  <c r="O17" i="1"/>
  <c r="D17" i="2"/>
  <c r="R17" i="2"/>
  <c r="O16" i="1"/>
  <c r="R16" i="2"/>
  <c r="O15" i="1"/>
  <c r="D16" i="2"/>
  <c r="P30" i="2"/>
  <c r="B24" i="2" l="1"/>
  <c r="I23" i="1"/>
  <c r="I13" i="1"/>
  <c r="C27" i="1"/>
  <c r="B23" i="2"/>
  <c r="I28" i="1"/>
  <c r="I22" i="1"/>
  <c r="B29" i="2"/>
  <c r="F37" i="2"/>
  <c r="F38" i="2" s="1"/>
  <c r="C10" i="15" s="1"/>
  <c r="B10" i="15" s="1"/>
  <c r="E10" i="15" s="1"/>
  <c r="F69" i="1"/>
  <c r="U20" i="1"/>
  <c r="T20" i="1" s="1"/>
  <c r="N20" i="1"/>
  <c r="U24" i="1"/>
  <c r="T24" i="1" s="1"/>
  <c r="N24" i="1"/>
  <c r="C14" i="1"/>
  <c r="B15" i="2"/>
  <c r="C32" i="1"/>
  <c r="B33" i="2"/>
  <c r="C21" i="1"/>
  <c r="B22" i="2"/>
  <c r="B13" i="1"/>
  <c r="U18" i="1"/>
  <c r="T18" i="1" s="1"/>
  <c r="N18" i="1"/>
  <c r="T37" i="2"/>
  <c r="D47" i="2" s="1"/>
  <c r="B47" i="2" s="1"/>
  <c r="I70" i="1"/>
  <c r="I20" i="1"/>
  <c r="B20" i="1"/>
  <c r="C19" i="1"/>
  <c r="B20" i="2"/>
  <c r="U12" i="1"/>
  <c r="T12" i="1" s="1"/>
  <c r="N12" i="1"/>
  <c r="B23" i="1"/>
  <c r="B27" i="1"/>
  <c r="U14" i="1"/>
  <c r="T14" i="1" s="1"/>
  <c r="N14" i="1"/>
  <c r="U22" i="1"/>
  <c r="T22" i="1" s="1"/>
  <c r="N22" i="1"/>
  <c r="C12" i="1"/>
  <c r="B13" i="2"/>
  <c r="U13" i="1"/>
  <c r="T13" i="1" s="1"/>
  <c r="N13" i="1"/>
  <c r="U21" i="1"/>
  <c r="T21" i="1" s="1"/>
  <c r="N21" i="1"/>
  <c r="J30" i="2"/>
  <c r="J37" i="2" s="1"/>
  <c r="K69" i="1" s="1"/>
  <c r="U19" i="1"/>
  <c r="T19" i="1" s="1"/>
  <c r="N19" i="1"/>
  <c r="U23" i="1"/>
  <c r="T23" i="1" s="1"/>
  <c r="N23" i="1"/>
  <c r="C24" i="1"/>
  <c r="B25" i="2"/>
  <c r="AA29" i="1"/>
  <c r="AA36" i="1" s="1"/>
  <c r="Z11" i="1"/>
  <c r="Z29" i="1" s="1"/>
  <c r="Z36" i="1" s="1"/>
  <c r="I66" i="1" s="1"/>
  <c r="C11" i="1"/>
  <c r="B12" i="2"/>
  <c r="U28" i="1"/>
  <c r="T28" i="1" s="1"/>
  <c r="N28" i="1"/>
  <c r="C18" i="1"/>
  <c r="B19" i="2"/>
  <c r="U11" i="1"/>
  <c r="T11" i="1" s="1"/>
  <c r="N11" i="1"/>
  <c r="U27" i="1"/>
  <c r="T27" i="1" s="1"/>
  <c r="N27" i="1"/>
  <c r="U26" i="1"/>
  <c r="T26" i="1" s="1"/>
  <c r="N26" i="1"/>
  <c r="C26" i="1"/>
  <c r="B27" i="2"/>
  <c r="U25" i="1"/>
  <c r="T25" i="1" s="1"/>
  <c r="N25" i="1"/>
  <c r="C25" i="1"/>
  <c r="B26" i="2"/>
  <c r="C17" i="1"/>
  <c r="B18" i="2"/>
  <c r="U17" i="1"/>
  <c r="T17" i="1" s="1"/>
  <c r="N17" i="1"/>
  <c r="C16" i="1"/>
  <c r="B17" i="2"/>
  <c r="U16" i="1"/>
  <c r="T16" i="1" s="1"/>
  <c r="N16" i="1"/>
  <c r="R30" i="2"/>
  <c r="K70" i="1" s="1"/>
  <c r="U15" i="1"/>
  <c r="O29" i="1"/>
  <c r="O36" i="1" s="1"/>
  <c r="N15" i="1"/>
  <c r="C15" i="1"/>
  <c r="D30" i="2"/>
  <c r="B16" i="2"/>
  <c r="D46" i="2"/>
  <c r="P37" i="2"/>
  <c r="N40" i="1" s="1"/>
  <c r="I19" i="1" l="1"/>
  <c r="I27" i="1"/>
  <c r="I25" i="1"/>
  <c r="I26" i="1"/>
  <c r="I18" i="1"/>
  <c r="I11" i="1"/>
  <c r="I24" i="1"/>
  <c r="I32" i="1"/>
  <c r="I12" i="1"/>
  <c r="I16" i="1"/>
  <c r="I17" i="1"/>
  <c r="I21" i="1"/>
  <c r="I14" i="1"/>
  <c r="B28" i="1"/>
  <c r="H28" i="1" s="1"/>
  <c r="B22" i="1"/>
  <c r="H22" i="1" s="1"/>
  <c r="H20" i="1"/>
  <c r="AA37" i="1"/>
  <c r="Z37" i="1" s="1"/>
  <c r="F41" i="2"/>
  <c r="I68" i="1"/>
  <c r="I71" i="1" s="1"/>
  <c r="B12" i="1"/>
  <c r="H12" i="1" s="1"/>
  <c r="B11" i="1"/>
  <c r="H11" i="1" s="1"/>
  <c r="B21" i="1"/>
  <c r="H21" i="1" s="1"/>
  <c r="B14" i="1"/>
  <c r="H14" i="1" s="1"/>
  <c r="H27" i="1"/>
  <c r="B69" i="1"/>
  <c r="B18" i="1"/>
  <c r="H18" i="1" s="1"/>
  <c r="H13" i="1"/>
  <c r="B24" i="1"/>
  <c r="H24" i="1" s="1"/>
  <c r="B19" i="1"/>
  <c r="H19" i="1" s="1"/>
  <c r="B32" i="1"/>
  <c r="H32" i="1" s="1"/>
  <c r="H23" i="1"/>
  <c r="B26" i="1"/>
  <c r="H26" i="1" s="1"/>
  <c r="B25" i="1"/>
  <c r="H25" i="1" s="1"/>
  <c r="B17" i="1"/>
  <c r="H17" i="1" s="1"/>
  <c r="R37" i="2"/>
  <c r="B16" i="1"/>
  <c r="H16" i="1" s="1"/>
  <c r="N29" i="1"/>
  <c r="N36" i="1" s="1"/>
  <c r="N37" i="1" s="1"/>
  <c r="B15" i="1"/>
  <c r="B30" i="2"/>
  <c r="D48" i="2"/>
  <c r="B48" i="2" s="1"/>
  <c r="B46" i="2"/>
  <c r="I15" i="1"/>
  <c r="C29" i="1"/>
  <c r="U29" i="1"/>
  <c r="U36" i="1" s="1"/>
  <c r="K68" i="1" s="1"/>
  <c r="K71" i="1" s="1"/>
  <c r="T15" i="1"/>
  <c r="T29" i="1" s="1"/>
  <c r="T36" i="1" s="1"/>
  <c r="K66" i="1" s="1"/>
  <c r="D45" i="2"/>
  <c r="B45" i="2" s="1"/>
  <c r="I81" i="1" l="1"/>
  <c r="N38" i="1"/>
  <c r="N61" i="1"/>
  <c r="H15" i="1"/>
  <c r="H29" i="1" s="1"/>
  <c r="F66" i="1" s="1"/>
  <c r="B29" i="1"/>
  <c r="K81" i="1"/>
  <c r="I29" i="1"/>
  <c r="F68" i="1" s="1"/>
  <c r="F71" i="1" s="1"/>
  <c r="F81" i="1" l="1"/>
  <c r="G45" i="11" l="1"/>
  <c r="G459" i="8" l="1"/>
  <c r="F497" i="8" l="1"/>
  <c r="G499" i="8" l="1"/>
  <c r="G497" i="8"/>
  <c r="N32" i="2" l="1"/>
  <c r="D32" i="2" l="1"/>
  <c r="N34" i="2"/>
  <c r="C31" i="1" l="1"/>
  <c r="D34" i="2"/>
  <c r="B32" i="2"/>
  <c r="D70" i="1"/>
  <c r="B70" i="1" s="1"/>
  <c r="N37" i="2"/>
  <c r="N38" i="2" s="1"/>
  <c r="I31" i="1" l="1"/>
  <c r="I33" i="1" s="1"/>
  <c r="C33" i="1"/>
  <c r="C36" i="1" s="1"/>
  <c r="D37" i="2"/>
  <c r="D44" i="2"/>
  <c r="B44" i="2" s="1"/>
  <c r="B34" i="2"/>
  <c r="B37" i="2" s="1"/>
  <c r="B31" i="1"/>
  <c r="B49" i="2" l="1"/>
  <c r="D68" i="1"/>
  <c r="I36" i="1"/>
  <c r="H31" i="1"/>
  <c r="H33" i="1" s="1"/>
  <c r="B33" i="1"/>
  <c r="B36" i="1" s="1"/>
  <c r="B37" i="1" s="1"/>
  <c r="D49" i="2"/>
  <c r="D38" i="2"/>
  <c r="B38" i="2" s="1"/>
  <c r="B68" i="1" l="1"/>
  <c r="B71" i="1" s="1"/>
  <c r="D71" i="1"/>
  <c r="H36" i="1"/>
  <c r="D66" i="1"/>
  <c r="H38" i="1" l="1"/>
  <c r="H37" i="1"/>
  <c r="B66" i="1"/>
  <c r="B81" i="1" s="1"/>
  <c r="D81" i="1"/>
  <c r="F11" i="13" l="1"/>
  <c r="D8" i="15"/>
  <c r="G11" i="13"/>
  <c r="D11" i="15" l="1"/>
  <c r="D9" i="15" s="1"/>
  <c r="I11" i="13"/>
  <c r="F17" i="13" l="1"/>
  <c r="D23" i="15"/>
  <c r="D25" i="15" s="1"/>
  <c r="G17" i="13"/>
  <c r="I15" i="13" l="1"/>
  <c r="I19" i="13" s="1"/>
  <c r="I21" i="13" s="1"/>
  <c r="F15" i="13" l="1"/>
  <c r="D19" i="15"/>
  <c r="D21" i="15" s="1"/>
  <c r="G15" i="13"/>
  <c r="H15" i="13" l="1"/>
  <c r="H17" i="13"/>
  <c r="B39" i="2" l="1"/>
  <c r="D17" i="13" l="1"/>
  <c r="B17" i="13" l="1"/>
  <c r="C23" i="15"/>
  <c r="C17" i="13"/>
  <c r="B23" i="15" l="1"/>
  <c r="C25" i="15"/>
  <c r="E23" i="15" l="1"/>
  <c r="E25" i="15" s="1"/>
  <c r="B25" i="15"/>
  <c r="E15" i="13" l="1"/>
  <c r="D15" i="13"/>
  <c r="B15" i="13" l="1"/>
  <c r="C19" i="15"/>
  <c r="C15" i="13"/>
  <c r="C21" i="15" l="1"/>
  <c r="B19" i="15"/>
  <c r="B21" i="15" l="1"/>
  <c r="E19" i="15"/>
  <c r="E21" i="15" s="1"/>
  <c r="H13" i="13" l="1"/>
  <c r="H19" i="13" s="1"/>
  <c r="H21" i="13" s="1"/>
  <c r="B13" i="13" l="1"/>
  <c r="C13" i="15"/>
  <c r="C13" i="13"/>
  <c r="D13" i="13"/>
  <c r="D19" i="13" s="1"/>
  <c r="D21" i="13" s="1"/>
  <c r="C14" i="15" l="1"/>
  <c r="B13" i="15"/>
  <c r="F13" i="13"/>
  <c r="F19" i="13" s="1"/>
  <c r="D13" i="15"/>
  <c r="G13" i="13"/>
  <c r="G19" i="13" s="1"/>
  <c r="G21" i="13" s="1"/>
  <c r="E13" i="15" l="1"/>
  <c r="E14" i="15" s="1"/>
  <c r="B14" i="15"/>
  <c r="F21" i="13"/>
  <c r="F22" i="13"/>
  <c r="G22" i="13"/>
  <c r="D14" i="15"/>
  <c r="D27" i="15"/>
  <c r="D28" i="15" s="1"/>
  <c r="C8" i="15" l="1"/>
  <c r="B11" i="13"/>
  <c r="B19" i="13" s="1"/>
  <c r="A39" i="2"/>
  <c r="C27" i="15" l="1"/>
  <c r="C28" i="15" s="1"/>
  <c r="B8" i="15"/>
  <c r="C11" i="15"/>
  <c r="C9" i="15" s="1"/>
  <c r="B21" i="13"/>
  <c r="B22" i="13"/>
  <c r="E11" i="13"/>
  <c r="E19" i="13" s="1"/>
  <c r="E21" i="13" s="1"/>
  <c r="C11" i="13"/>
  <c r="C19" i="13" s="1"/>
  <c r="C21" i="13" s="1"/>
  <c r="B27" i="15" l="1"/>
  <c r="E8" i="15"/>
  <c r="B11" i="15"/>
  <c r="B9" i="15" s="1"/>
  <c r="C22" i="13"/>
  <c r="E11" i="15" l="1"/>
  <c r="E9" i="15" s="1"/>
  <c r="E27" i="15"/>
  <c r="E28" i="15" s="1"/>
</calcChain>
</file>

<file path=xl/sharedStrings.xml><?xml version="1.0" encoding="utf-8"?>
<sst xmlns="http://schemas.openxmlformats.org/spreadsheetml/2006/main" count="3015" uniqueCount="931">
  <si>
    <t>руб. коп.</t>
  </si>
  <si>
    <t>Всего</t>
  </si>
  <si>
    <t>тыс.руб.</t>
  </si>
  <si>
    <t>СУБСИДИЯ</t>
  </si>
  <si>
    <t>Перечислено</t>
  </si>
  <si>
    <t xml:space="preserve">  г. Елец</t>
  </si>
  <si>
    <t xml:space="preserve">  г. Липецк</t>
  </si>
  <si>
    <t>Итого по городам</t>
  </si>
  <si>
    <t xml:space="preserve">субсидии бюджетам поселений на обеспечение мероприятий по переселению граждан из аварийного жилищного фонда за счет средств бюджетов   </t>
  </si>
  <si>
    <t xml:space="preserve">Дотации  бюджетам  поселений  на  выравнивание  бюджетной  обеспеченности  </t>
  </si>
  <si>
    <t xml:space="preserve">субсидии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   </t>
  </si>
  <si>
    <t>Закон  Липецкой  области  от  04.02.2008  года  № 129-ОЗ  "О  наделении  органов  местного  самоуправления  отдельными  государственными  полномочиями  по  оплате  жилья  и  коммунальных  услуг  педагогическим,  медицинским,  фармацевтическим,  социальным  работникам,  работникам  культуры  и  искусства"</t>
  </si>
  <si>
    <t>Наименование  муниципальных  образований</t>
  </si>
  <si>
    <t>Годовой  план</t>
  </si>
  <si>
    <t>Исполнено</t>
  </si>
  <si>
    <t>всего</t>
  </si>
  <si>
    <t>Годовой  план,  всего</t>
  </si>
  <si>
    <t>Исполнено,  всего</t>
  </si>
  <si>
    <t>Целевая  статья</t>
  </si>
  <si>
    <t>Закон  Липецкой  области  от  15.10.2009  года  № 311-ОЗ  "О  наделении  органов  местного  самоуправления  отдельными  государственными  полномочиями  по  предоставлению  социальной  выплаты  на  приобретение  или  строительство  жилья  по  подпрограмме  "Ипотечное  жилищное  кредитование"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</si>
  <si>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руб.коп.</t>
  </si>
  <si>
    <t>Закон  Липецкой  области  от  27.12.2007  года  №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  в  части  предоставления единовременной выплаты детям-сиротам и детям, оставшимся без попечения родителей, а также лицам из их числа на ремонт закрепленного жилого помещения</t>
  </si>
  <si>
    <t xml:space="preserve">Прочие  субсидии  бюджетам  муниципальных  районов  и  городских  округов  </t>
  </si>
  <si>
    <t xml:space="preserve">Прочие  субсидии  бюджетам  поселений  </t>
  </si>
  <si>
    <t>в  рамках  государственных  программ</t>
  </si>
  <si>
    <t>в  рамках  непрограммной  деятельности</t>
  </si>
  <si>
    <t>Иные  межбюджетные  трансферты</t>
  </si>
  <si>
    <t>дотации на поощрение достижения наилучших показателей деятельности органов местного самоуправления</t>
  </si>
  <si>
    <t xml:space="preserve">РАСПРЕДЕЛЕНИЕ  МЕЖБЮДЖЕТНЫХ  ТРАНСФЕРТОВ  МЕЖДУ  УРОВНЯМИ  БЮДЖЕТОВ  </t>
  </si>
  <si>
    <t xml:space="preserve">Субвенции  бюджетам  муниципальных  районов  и  городских  округов  на  выполнение  передаваемых  полномочий  субъектов  Российской  Федерации  </t>
  </si>
  <si>
    <t>Физическая  культура  и  спорт</t>
  </si>
  <si>
    <t>Закон  Липецкой  области  от  31.08.2004  года  № 120-ОЗ  «Об  административных  комиссиях  и   наделении  органов  местного  самоуправления  государственными  полномочиями  по  образованию  и  организации  деятельности  административных  комиссий,  составлению  протоколов  об  административных  правонарушениях»</t>
  </si>
  <si>
    <t xml:space="preserve">Закон  Липецкой  области  от  11.12.2013  года  № 217-ОЗ  "О  нормативах  финансирования  муниципальных  дошкольных  образовательных  организаций" </t>
  </si>
  <si>
    <t>0801</t>
  </si>
  <si>
    <t>Культура</t>
  </si>
  <si>
    <t>руб.коп</t>
  </si>
  <si>
    <t xml:space="preserve">        ВСЕГО</t>
  </si>
  <si>
    <t xml:space="preserve"> из  них</t>
  </si>
  <si>
    <t>в  том  числе</t>
  </si>
  <si>
    <t>дотация  на  выравнивание</t>
  </si>
  <si>
    <t>ГП</t>
  </si>
  <si>
    <t>СП</t>
  </si>
  <si>
    <t>КС - 522</t>
  </si>
  <si>
    <t>Закон</t>
  </si>
  <si>
    <t>КС</t>
  </si>
  <si>
    <t>Отклонение</t>
  </si>
  <si>
    <t>0709</t>
  </si>
  <si>
    <t>Другие общегосударственные вопросы</t>
  </si>
  <si>
    <t>Закон  Липецкой  области  от  27.12.2007  года  №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 в части содержания  численности  специалистов,  осуществляющих  деятельность  по  опеке  и  попечительству</t>
  </si>
  <si>
    <t>иные  межбюджетные  трансферты</t>
  </si>
  <si>
    <t>0701</t>
  </si>
  <si>
    <t>Дошкольное образование</t>
  </si>
  <si>
    <t>нераспределенная  субсидия</t>
  </si>
  <si>
    <t xml:space="preserve">Всего </t>
  </si>
  <si>
    <t>Справочно:  бюджеты  поселений</t>
  </si>
  <si>
    <t>Всего  консолидированный  бюджет</t>
  </si>
  <si>
    <t>областная</t>
  </si>
  <si>
    <t>федеральная</t>
  </si>
  <si>
    <t>средства  федерального  бюджета</t>
  </si>
  <si>
    <t>городские</t>
  </si>
  <si>
    <t>районы</t>
  </si>
  <si>
    <t>Жилищное хозяйство</t>
  </si>
  <si>
    <t>Безвозмездные  поступления  от  других  бюджетов  бюджетной  системы  Российской  Федерации    (000 2 02 00000 00 0000 000)</t>
  </si>
  <si>
    <t>Получение  бюджетных  кредитов  от  других  бюджетов  бюджетной  системы  Российской  Федерации  бюджетами  городских  округов  ( 000 01 03 00 00 04 0000 700 )</t>
  </si>
  <si>
    <t xml:space="preserve">     Наименование  муниципальных  образований</t>
  </si>
  <si>
    <t>Прочие межбюджетные трансферты общего характера</t>
  </si>
  <si>
    <t>Погашение  бюджетных  кредитов,  полученных  от  других  бюджетов  бюджетной  системы  Российской  Федерации  бюджетами  сельских  поселений   (000 01 03 00 00 10 0000 800)</t>
  </si>
  <si>
    <t>Погашение  бюджетных  кредитов,  полученных  от  других  бюджетов  бюджетной  системы  Российской  Федерации  бюджетами  городских  поселений   (000 01 03 00 00 13 0000 800)</t>
  </si>
  <si>
    <t>Получение  бюджетных  кредитов  от  других  бюджетов  бюджетной  системы  Российской  Федерации  бюджетами  муниципальных  районов  ( 000 01 03 00 00 05 0000 700 )</t>
  </si>
  <si>
    <t>Погашение  бюджетных  кредитов,  полученных  от  других  бюджетов  бюджетной  системы  Российской  Федерации  бюджетами  городских  округов   (000 01 03 00 00 04 0000 800)</t>
  </si>
  <si>
    <t>Погашение  бюджетных  кредитов,  полученных  от  других  бюджетов  бюджетной  системы  Российской  Федерации  бюджетами  муниципальных  районов  (000 01 03 00 00 05 0000 800)</t>
  </si>
  <si>
    <t>Получение  бюджетных  кредитов  от  других  бюджетов  бюджетной  системы  Российской  Федерации  бюджетами  сельских  поселений  (000 01 03 00 00 10 0000 700)</t>
  </si>
  <si>
    <t>Получение  бюджетных  кредитов  от  других  бюджетов  бюджетной  системы  Российской  Федерации  бюджетами  городских  поселений  (000 01 03 00 00 13 0000 700)</t>
  </si>
  <si>
    <t>Прочие межбюджетные трансферты, передаваемые бюджетам поселений</t>
  </si>
  <si>
    <t>без  учета  дотации</t>
  </si>
  <si>
    <t>0113</t>
  </si>
  <si>
    <t>0702</t>
  </si>
  <si>
    <t>субвенция</t>
  </si>
  <si>
    <t>прочие  безв. поступления</t>
  </si>
  <si>
    <t>Воловский</t>
  </si>
  <si>
    <t>Грязинский</t>
  </si>
  <si>
    <t>Данковский</t>
  </si>
  <si>
    <t>Добринский</t>
  </si>
  <si>
    <t>Добровский</t>
  </si>
  <si>
    <t>Долгоруковский</t>
  </si>
  <si>
    <t>Елецкий</t>
  </si>
  <si>
    <t>Задонский</t>
  </si>
  <si>
    <t>Измалковский</t>
  </si>
  <si>
    <t>Краснинский</t>
  </si>
  <si>
    <t>Лебедянский</t>
  </si>
  <si>
    <t>Лев-Толстовский</t>
  </si>
  <si>
    <t>Липецкий</t>
  </si>
  <si>
    <t>Становлянский</t>
  </si>
  <si>
    <t>Тербунский</t>
  </si>
  <si>
    <t>Усманский</t>
  </si>
  <si>
    <t>Хлевенский</t>
  </si>
  <si>
    <t>Чаплыгинский</t>
  </si>
  <si>
    <t>районы,  города</t>
  </si>
  <si>
    <t>из  них</t>
  </si>
  <si>
    <t>поселения</t>
  </si>
  <si>
    <t>дотация</t>
  </si>
  <si>
    <t>субсидия</t>
  </si>
  <si>
    <t xml:space="preserve">Закон  Липецкой  области  от  30.11.2000  года  № 117-ОЗ  «О  наделении  органов  местного  самоуправления  государственными  полномочиями  Липецкой  области  в  сфере  архивного  дела»  </t>
  </si>
  <si>
    <t>Массовый  спорт</t>
  </si>
  <si>
    <t>Итого по районам</t>
  </si>
  <si>
    <t>0408</t>
  </si>
  <si>
    <t>Транспорт</t>
  </si>
  <si>
    <t>Справочно:</t>
  </si>
  <si>
    <t>план  погашения  КБ</t>
  </si>
  <si>
    <t>факт  погашения  КБ</t>
  </si>
  <si>
    <t xml:space="preserve"> Закон  Липецкой  области  от  08.11.2012  года  № 88-ОЗ  "О  наделении  органов  местного  самоуправления  отдельными  государственными  полномочиями  в  области  охраны  труда  и  социально-трудовых  отношений"</t>
  </si>
  <si>
    <t>Другие  вопросы  в  области  образования</t>
  </si>
  <si>
    <t>Подраздел</t>
  </si>
  <si>
    <t>Общее образование</t>
  </si>
  <si>
    <t>дотация  на  сбалансированность</t>
  </si>
  <si>
    <t>0412</t>
  </si>
  <si>
    <t>Другие вопросы в области национальной экономики</t>
  </si>
  <si>
    <t>ГОРОДСКИЕ  ПОСЕЛЕНИЯ</t>
  </si>
  <si>
    <t>СЕЛЬСКИЕ  ПОСЕЛЕНИЯ</t>
  </si>
  <si>
    <t>Получение  бюджетных  кредитов  от  других  бюджетов  бюджетной  системы  Российской  Федерации  бюджетами  поселений</t>
  </si>
  <si>
    <t>В  ТОМ  ЧИСЛЕ</t>
  </si>
  <si>
    <t>Погашение  бюджетных  кредитов,  полученных  от  других  бюджетов  бюджетной  системы  Российской  Федерации  бюджетами  поселений</t>
  </si>
  <si>
    <t>Дотации  бюджетам  поселений  на  поддержку  мер  по  обеспечению  сбалансированности  бюджетов</t>
  </si>
  <si>
    <t>0409</t>
  </si>
  <si>
    <t>Бюджет_КС</t>
  </si>
  <si>
    <t>район</t>
  </si>
  <si>
    <t>города</t>
  </si>
  <si>
    <t>ИНЫЕ  МЕЖБЮДЖЕТНЫЕ  ТРАНСФЕРТЫ</t>
  </si>
  <si>
    <t>КОСГУ  310,  всего</t>
  </si>
  <si>
    <t>0501</t>
  </si>
  <si>
    <t>0503</t>
  </si>
  <si>
    <t>Благоустройство</t>
  </si>
  <si>
    <t>КОСГУ  310</t>
  </si>
  <si>
    <t>МР</t>
  </si>
  <si>
    <t>ГО</t>
  </si>
  <si>
    <t>БП</t>
  </si>
  <si>
    <t>ВСЕГО</t>
  </si>
  <si>
    <t>(вид  расхода  512  "Иные дотации")</t>
  </si>
  <si>
    <t>(вид  расхода  540  "Иные межбюджетные трансферты")</t>
  </si>
  <si>
    <t>Иные  межбюджетные  трансферты,  всего</t>
  </si>
  <si>
    <t>вид  расхода  530  "Субвенции"</t>
  </si>
  <si>
    <t>вид  расхода  540  "Иные межбюджетные трансферты"</t>
  </si>
  <si>
    <t>вид  расхода  511  "Дотации на выравнивание бюджетной обеспеченности"</t>
  </si>
  <si>
    <t>вид  расхода  512  "Иные дотации"</t>
  </si>
  <si>
    <t xml:space="preserve">вид  расхода  521  "Субсидии, за исключением субсидий на софинансирование капитальных вложений в объекты государственной (муниципальной) собственности"  </t>
  </si>
  <si>
    <t>вид  расхода  522  "Субсидии на софинансирование капитальных вложений в объекты государственной (муниципальной) собственности"</t>
  </si>
  <si>
    <t xml:space="preserve">вид  расхода  521  </t>
  </si>
  <si>
    <t xml:space="preserve">вид  расхода  522  </t>
  </si>
  <si>
    <t>КС - 521</t>
  </si>
  <si>
    <t xml:space="preserve">Закон  Липецкой  области  от  30.12.2004  года  № 167-ОЗ  «О  комиссиях  по  делам  несовершеннолетних  и  защите  их  прав  в  Липецкой  области  и  наделении  органов  местного  самоуправления  государственными  полномочиями  по  образованию  и  организации  деятельности  комиссий  по  делам  несовершеннолетних  и  защите  их  прав»  </t>
  </si>
  <si>
    <t>Дорожное хозяйство (дорожные фонды)</t>
  </si>
  <si>
    <t>Безвозмездные  поступления     (000 2 00 00000 00 0000 000)</t>
  </si>
  <si>
    <t xml:space="preserve">Субсидии бюджетам поселений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t>
  </si>
  <si>
    <t>Получение  бюджетных  кредитов  от  других  бюджетов  бюджетной  системы  Российской  Федерации  (000 01 03 00 00 00 0000 700)</t>
  </si>
  <si>
    <t>Погашение  бюджетных  кредитов,  полученных  от  других  бюджетов  бюджетной  системы  Российской  Федерации    (000 01 03 00 00 00 0000 800)</t>
  </si>
  <si>
    <t>СУБВЕНЦИЯ</t>
  </si>
  <si>
    <t>годовой  план</t>
  </si>
  <si>
    <t>факт</t>
  </si>
  <si>
    <t>ИТОГО</t>
  </si>
  <si>
    <t>Показатели</t>
  </si>
  <si>
    <t>Нераспределенная  сумма</t>
  </si>
  <si>
    <t>Распределено</t>
  </si>
  <si>
    <t xml:space="preserve">прочие  субсидии  </t>
  </si>
  <si>
    <t>субвенция  на  воинский  учет</t>
  </si>
  <si>
    <t>отклонение</t>
  </si>
  <si>
    <t>нераспределенные  иные  МБТ</t>
  </si>
  <si>
    <t xml:space="preserve">субсидии бюджетам поселений на обеспечение мероприятий по переселению граждан из аварийного жилищного фонда за счет средств, поступивших от государственной корпорации - Фонда содействия реформированию жилищно-коммунального хозяйства </t>
  </si>
  <si>
    <t>выборка  без  федеральных</t>
  </si>
  <si>
    <t>прочие межбюджетные трансферты, передаваемые бюджетам поселений</t>
  </si>
  <si>
    <t xml:space="preserve"> Другие общегосударственные вопросы</t>
  </si>
  <si>
    <t>Иные межбюджетные трансферты за счет средств резервного фонда администрации Липецкой области по непрограммному направлению расходов "Резервные фонды" в рамках непрограммных расходов областного бюджета</t>
  </si>
  <si>
    <t>19 3 01 80030</t>
  </si>
  <si>
    <t>Целевая  статья  01 1 01 51350</t>
  </si>
  <si>
    <t>Целевая  статья  99 9 00 51180</t>
  </si>
  <si>
    <t>Целевая  статья  99 9 00 51200</t>
  </si>
  <si>
    <t>Целевая  статья  99 4 00 59300</t>
  </si>
  <si>
    <t>01 1 01 85250</t>
  </si>
  <si>
    <t>01 4 04 85080</t>
  </si>
  <si>
    <t>01 4 02 85130</t>
  </si>
  <si>
    <t>01 4 02 85140</t>
  </si>
  <si>
    <t>01 5 03 85320</t>
  </si>
  <si>
    <t>01 7 02 85150</t>
  </si>
  <si>
    <t>02 4 01 85340</t>
  </si>
  <si>
    <t>06 3 01 85060</t>
  </si>
  <si>
    <t>09 1 01 85070</t>
  </si>
  <si>
    <t>99 9 00 85270</t>
  </si>
  <si>
    <t>Целевая  статья  01 4 02 85040</t>
  </si>
  <si>
    <t>Целевая  статья  01 7 01 85050</t>
  </si>
  <si>
    <t>99 4 00 59300</t>
  </si>
  <si>
    <t>99 4 00 85020</t>
  </si>
  <si>
    <t>19 3 02 80040</t>
  </si>
  <si>
    <t>19 3 02 80070</t>
  </si>
  <si>
    <t>Целевые  статьи  19 3 02 80040,  19 3 02 80070</t>
  </si>
  <si>
    <t>19 3 02 80050</t>
  </si>
  <si>
    <t>19 3 02 80060</t>
  </si>
  <si>
    <t>19 3 02 80080</t>
  </si>
  <si>
    <t>Целевые  статьи  19 3 02 80050,  19 3 02 80060,  19 3 02 80080</t>
  </si>
  <si>
    <t>Целевая  статья  19 3 01 80030</t>
  </si>
  <si>
    <t>Целевые  статьи  19 3 01 80010, 19 3 01 80020</t>
  </si>
  <si>
    <t>08 5 03 86010</t>
  </si>
  <si>
    <t>14 2 02 86100</t>
  </si>
  <si>
    <t>13 6 01 86050</t>
  </si>
  <si>
    <t>13 8 01 86060</t>
  </si>
  <si>
    <t>05 1 06 86560</t>
  </si>
  <si>
    <t>12 1 29 86080</t>
  </si>
  <si>
    <t>08 5 03 86010 - в  части  капремонта</t>
  </si>
  <si>
    <t>08 5 03 86010 - бюдж. Инвест.</t>
  </si>
  <si>
    <t>99 3 00 88000</t>
  </si>
  <si>
    <t>14 1 04 86030</t>
  </si>
  <si>
    <t>ВР  521</t>
  </si>
  <si>
    <t>ВР  522</t>
  </si>
  <si>
    <t>ВР  522,  всего</t>
  </si>
  <si>
    <t>13 5 02 85170</t>
  </si>
  <si>
    <t>1.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в рамках  подпрограммы "Развитие мер социальной поддержки отдельных категорий населения" государственной программы Липецкой области "Социальная поддержка граждан, реализация семейно-демографической политики Липецкой области" (ЦС  01 1 01 51340)</t>
  </si>
  <si>
    <t>Целевая  статья  01 1 01 51340</t>
  </si>
  <si>
    <t xml:space="preserve">Закон Липецкой области от 18.09.2015 года № 440-ОЗ "О наделении органов местного самоуправления государственными полномочиями по организации предоставления образования лицам, осужденным к лишению свободы" </t>
  </si>
  <si>
    <t xml:space="preserve">Закон  Липецкой  области  от  31.12.2009  года  № 349-ОЗ  "О  наделении  органов  местного  самоуправления  отдельными  государственными  полномочиями  по  сбору  информации  от  поселений,  входящих  в  муниципальный  район,  необходимой  для  ведения  Регистра  муниципальных  нормативных  правовых  актов  Липецкой  области"  </t>
  </si>
  <si>
    <t>01 7 01 85360</t>
  </si>
  <si>
    <t>16 2 02 86210</t>
  </si>
  <si>
    <t>14 1 05 86070</t>
  </si>
  <si>
    <t>01 6 05 R0273</t>
  </si>
  <si>
    <t>10 1 03 86670</t>
  </si>
  <si>
    <t>Закон  Липецкой  области  от  15.12.2015  года  № 481-ОЗ  "О наделении органов местного самоуправления государственными полномочиями по организации проведения мероприятий по отлову и содержанию безнадзорных животных"</t>
  </si>
  <si>
    <t>Предоставление субсидий местным бюджетам на реализацию муниципальных программ, направленных на осуществление капитального ремонта и бюджетных инвестиций в объекты муниципальной собственности в рамках подпрограммы "Повышение качества условий проживания населения области за счет обеспечения населенных пунктов области социальной инфраструктурой"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</si>
  <si>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Предоставление субсидий местным бюджетам на реализацию муниципальных программ, направленных на приобретение автотранспорта для подвоза детей в общеобразовательные организации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</si>
  <si>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Предоставление субсидии местным бюджетам на реализацию муниципальных программ в части поддержки социально ориентированных некоммерческих организаций в рамках подпрограммы «Содействие развитию гражданского общества, патриотического воспитания населения Липецкой области и реализация молодежной политики» государственной программы Липецкой области "Реализация внутренней политики Липецкой области"</t>
  </si>
  <si>
    <t>Предоставление субсидий местным бюджетам на реализацию муниципальных программ, направленных на обеспечение дорожной деятельности в части капитального ремонта и ремонта автомобильных дорог общего пользования местного значения населенных пунктов и соединяющих населенные пункты в границах муниципального района в рамках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t>
  </si>
  <si>
    <t>Предоставление субсидий местным бюджетам на реализацию муниципальных программ (подпрограмм) в области энергосбережения и повышения энергетической эффективности в рамках подпрограммы "Энергосбережение и повышение энергетической эффективности" государственной программы Липецкой области "Энергоэффективность и развитие энергетики в Липецкой области"</t>
  </si>
  <si>
    <t>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строительства (реконструкции) автомобильных дорог, в том числе  дорог с твердым покрытием до сельских населенных пунктов, не имеющих круглогодичной связи с сетью автомобильных дорог общего пользования, и проектирования искусственных сооружений на них в рамках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t>
  </si>
  <si>
    <t>Справка по исп. Лимитов по ЦС и ВР (райгруппа)</t>
  </si>
  <si>
    <t xml:space="preserve">  05 1 13 85350</t>
  </si>
  <si>
    <t>05 1 14 85090</t>
  </si>
  <si>
    <t>05 1 14 85160</t>
  </si>
  <si>
    <t>сельские</t>
  </si>
  <si>
    <t>Реализация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на условиях софинансирования с федеральным бюджетом (предоставление субсидий местным бюджетам на реализацию муниципальных программ, содержащих мероприятия по созданию условий для инклюзивного образования детей-инвалидов в дошкольных образовательных организациях)  в рамках подпрограммы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t>
  </si>
  <si>
    <t>05 1 14 85420</t>
  </si>
  <si>
    <t>Закон  Липецкой  области  от  27.12.2007  года  № 119-ОЗ  "О  наделении  органов  местного  самоуправления  отдельными  государственными  полномочиями  в  сфере  образования" в части компенсации затрат родителей (законных представителей) детей-инвалидов на организацию обучения по основным общеобразовательным программам на дому</t>
  </si>
  <si>
    <t>0502</t>
  </si>
  <si>
    <t>Коммунальное  хозяйство</t>
  </si>
  <si>
    <t>Дотации  бюджетам  на  поддержку  мер  по  обеспечению  сбалансированности  бюджетов  (000 2 02 15002 00 0000 151)</t>
  </si>
  <si>
    <t>Дотации  бюджетам  городских  округов  на  поддержку  мер  по  обеспечению  сбалансированности  бюджетов  (000 2 02 15002 04 0000 151)</t>
  </si>
  <si>
    <t>Дотации  бюджетам  муниципальных  районов  на  поддержку  мер  по  обеспечению  сбалансированности  бюджетов  (000 2 02 15002 05 0000 151)</t>
  </si>
  <si>
    <t>Дотации  бюджетам  сельских  поселений  на  поддержку  мер  по  обеспечению  сбалансированности  бюджетов   (000 2 02 15002 10 0000 151)</t>
  </si>
  <si>
    <t xml:space="preserve">Дотации  бюджетам  городских  поселений  на  поддержку  мер  по  обеспечению  сбалансированности  бюджетов   (000 2 02 15002 13 0000 151) </t>
  </si>
  <si>
    <t>06 1 13 86680</t>
  </si>
  <si>
    <t xml:space="preserve">Предоставление субсидий местным бюджетам на реализацию муниципальных программ, направленных на строительство сельских домов культуры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t>
  </si>
  <si>
    <t xml:space="preserve">Поддержка отрасли культуры (предоставление субсидий местным бюджетам на реализацию муниципальных программ, направленных на проведение мероприятий по подключению общедоступных библиотек к сети «Интернет» и развитие системы библиотечного дела с учетом задачи расширения информационных технологий и оцифровки)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t>
  </si>
  <si>
    <t>06 1 15 R5192</t>
  </si>
  <si>
    <t xml:space="preserve">Субсидия бюджетам поселений на поддержку отрасли культуры   </t>
  </si>
  <si>
    <t xml:space="preserve">субсидия на поддержку отрасли культуры  </t>
  </si>
  <si>
    <t xml:space="preserve">субсидии бюджетам поселений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 </t>
  </si>
  <si>
    <t xml:space="preserve">Субсидии бюджетам поселений на поддержку государственных программ субъектов Российской Федерации  и муниципальных программ формирования современной городской среды  </t>
  </si>
  <si>
    <t>11 4 08 R5276</t>
  </si>
  <si>
    <t>Государственная поддержка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(предоставление субсидии местным бюджетам для реализации муниципальных программ развития малого и среднего предпринимательства в части предоставления субсидий субъектам малого и среднего предпринимательства монопрофильных муниципальных образований на возмещение части затрат по уплате процентов по кредитам и договорам лизинга, первого взноса по договорам лизинга, по созданию и (или) развитию центров времяпрепровождения детей дошкольного возраста, на возмещение части затрат субъектов социального предпринимательства) в рамках подпрограммы "Развитие малого и среднего предпринимательства в Липецкой области на 2014-2020 годы" государственной программы Липецкой области "Модернизация и инновационное развитие экономики Липецкой области"</t>
  </si>
  <si>
    <t xml:space="preserve">Предоставление субсидий местным бюджетам на реализацию муниципальных программ (подпрограмм) в области энергосбережения и повышения энергетической эффективности в рамках подпрограммы "Энергосбережение и повышение энергетической эффективности" государственной программы Липецкой области "Энергоэффективность и развитие энергетики в Липецкой области" </t>
  </si>
  <si>
    <t>предоставление субсидий местным бюджетам на реализацию муниципальных программ, направленных на проведение мероприятий по подключению общедоступных библиотек к сети «Интернет» и развитие системы библиотечного дела с учетом задачи расширения информационных технологий и оцифровки</t>
  </si>
  <si>
    <t xml:space="preserve">предоставление субсидий местным бюджетам на реализацию муниципальных программ, содержащих мероприятия по созданию условий для инклюзивного образования детей-инвалидов в дошкольных образовательных организациях </t>
  </si>
  <si>
    <t>01 6 05 R0273 - обл</t>
  </si>
  <si>
    <t>01 6 05 R0273 - фед</t>
  </si>
  <si>
    <t>06 1 15 R5192 - обл</t>
  </si>
  <si>
    <t>06 1 15 R5192 - фед</t>
  </si>
  <si>
    <t>годовой  план  МБТ_I  часть)</t>
  </si>
  <si>
    <t>отклонение  от  годового  плана</t>
  </si>
  <si>
    <t>отклонение  от  КС</t>
  </si>
  <si>
    <t>УТОЧНЕННЫЙ  ПЛАН  И  ИСПОЛНЕНИЕ  ПО  СРЕДСТВАМ  ФЕДЕРАЛЬНОГО  БЮДЖЕТА</t>
  </si>
  <si>
    <t>предоставление субсидий местным бюджетам на реализацию муниципальных программ, направленных на развитие газификации в сельской местности</t>
  </si>
  <si>
    <t>отклонение  от  уточнений  МБТ</t>
  </si>
  <si>
    <t>11 4 07 86275</t>
  </si>
  <si>
    <t>11 4 08 86276</t>
  </si>
  <si>
    <t>Предоставление субсидии местным бюджетам для реализации муниципальных программ развития малого и среднего предпринимательства в части предоставления субсидий субъектам малого и среднего предпринимательства монопрофильных муниципальных образований на возмещение части затрат по уплате процентов по кредитам и договорам лизинга, первого взноса по договорам лизинга, по созданию и (или) развитию центров времяпрепровождения детей дошкольного возраста, на возмещение части затрат субъектов социального предпринимательства в рамках подпрограммы "Развитие малого и среднего предпринимательства в Липецкой области на 2014-2020 годы" государственной программы Липецкой области "Модернизация и инновационное развитие экономики Липецкой области"</t>
  </si>
  <si>
    <t>11 4 08 R5276 - фед</t>
  </si>
  <si>
    <t>предоставление субсидий местным бюджетам на софинансирование муниципальных программ развития малого и среднего предпринимательства по предоставлению субсидий на возмещение затрат по разработке проектно-сметной документации, по подготовке площадок для размещения резидентов и инфраструктуры технопарка, в том числе на проведение коммуникаций, строительство (реконструкцию) офисных и производственных площадей, по приобретению офисного и технологического оборудования</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</si>
  <si>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    (000 2 02 20299 00 0000 151)</t>
  </si>
  <si>
    <t>Субсидии бюджетам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t>
  </si>
  <si>
    <t>Субсидии бюджетам сельских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  (000 2 02 20299 10 0000 151)</t>
  </si>
  <si>
    <t>Субсидии бюджетам городских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  (000 2 02 20299 13 0000 151)</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</si>
  <si>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  (000 2 02 20299 04 0000 151)</t>
  </si>
  <si>
    <t xml:space="preserve">Субсидии бюджетам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t>
  </si>
  <si>
    <t>0703</t>
  </si>
  <si>
    <t>Дополнительное  образование  детей</t>
  </si>
  <si>
    <t>выборка  по  федеральным  с  "fed"</t>
  </si>
  <si>
    <t>ОБЛАСТНЫЕ  БЕЗ  R</t>
  </si>
  <si>
    <t>федеральные  средства  по  ЦС  с  R</t>
  </si>
  <si>
    <t>просто субсидия</t>
  </si>
  <si>
    <t>распределенная субсидия</t>
  </si>
  <si>
    <t>Субсидии бюджетам поселений на софинансирование капитальных вложений в объекты муниципальной собственности</t>
  </si>
  <si>
    <t>14 2 06 86090</t>
  </si>
  <si>
    <t>Предоставление субсидий местным бюджетам на реализацию муниципальных программ, направленных на приобретение подвижного состава для осуществления перевозок пассажиров автомобильным и городским наземным электрическим транспортом по муниципальным маршрутам регулярных перевозок в рамках подпрограммы "Развитие пассажирского транспорта общего пользования" государственной программы Липецкой области "Развитие транспортной системы Липецкой области"</t>
  </si>
  <si>
    <t>01 6 05 86310</t>
  </si>
  <si>
    <t>Предоставление субсидий местным бюджетам на реализацию муниципальных программ, содержащих мероприятия по созданию условий для инклюзивного образования детей-инвалидов в дошкольных образовательных организациях без условий софинансирования с федеральным бюджетом в рамках подпрограммы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t>
  </si>
  <si>
    <t>18 2 05 86790</t>
  </si>
  <si>
    <t>Предоставление субсидий местным бюджетам на реализацию муниципальных программ, направленных на совершенствование муниципального управления в рамках подпрограммы "Совершенствование государственной гражданской и муниципальной службы Липецкой области" государственной программы Липецкой области "Эффективное государственное управление и развитие муниципальной службы в Липецкой области"</t>
  </si>
  <si>
    <t>Предоставление субсидий местным бюджетам на реализацию муниципальных программ, направленных на обеспечение развития и укрепления материально-технической базы муниципальных домов культуры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t>
  </si>
  <si>
    <t>06 1 61 R4670 - обл</t>
  </si>
  <si>
    <t>06 1 61 R4670 - фед</t>
  </si>
  <si>
    <t>Целевая  статья  01 1 01 51760</t>
  </si>
  <si>
    <t>2.  Осуществление полномочий по обеспечению жильем отдельных категорий граждан, установленных Федеральным законом от 12 января 1995 года № 5-ФЗ "О ветеранах" в рамках  подпрограммы "Развитие мер социальной поддержки отдельных категорий населения" государственной программы Липецкой области "Социальная поддержка граждан, реализация семейно-демографической политики Липецкой области"  (ЦС 01 1 01 51350)</t>
  </si>
  <si>
    <t>Целевая  статья  06 1 62 R4670</t>
  </si>
  <si>
    <t>06 1 62 R4670 - обл</t>
  </si>
  <si>
    <t>06 1 62 R4670 - фед</t>
  </si>
  <si>
    <t>01 6 09 86800</t>
  </si>
  <si>
    <t>06 1 63 R4660 - обл</t>
  </si>
  <si>
    <t>06 1 63 R4660 - фед</t>
  </si>
  <si>
    <t>Целевая  статья  06 1 63 R4660</t>
  </si>
  <si>
    <t>06 1 62 R4670</t>
  </si>
  <si>
    <t>06 1 63 R4660</t>
  </si>
  <si>
    <t xml:space="preserve">Предоставление субсидий местным бюджетам на реализацию муниципальных программ, направленных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t>
  </si>
  <si>
    <t>3.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в рамках  подпрограммы "Развитие мер социальной поддержки отдельных категорий населения" государственной программы Липецкой области "Социальная поддержка граждан, реализация семейно-демографической политики Липецкой области"  (ЦС 01 1 01 51760)</t>
  </si>
  <si>
    <t>01 1 01 85180</t>
  </si>
  <si>
    <t>Закон Липецкой области от 25 декабря 2017 года № 141-ОЗ "О наделении органов местного самоуправления отдельными государственными полномочиями по проведению капитального ремонта жилых помещений отдельных категорий граждан в Липецкой области"</t>
  </si>
  <si>
    <t>05 1 26 86160</t>
  </si>
  <si>
    <t xml:space="preserve">05 1 26 86160 </t>
  </si>
  <si>
    <t>01 6 04 86130</t>
  </si>
  <si>
    <t>Предоставление субсидии бюджетам муниципальных образований на реализацию муниципальных программ, содержащих мероприятия по созданию в общеобразовательных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и оснащение общеобразовательных организаций специальным, в том числе учебным, реабилитационным, компьютерным, оборудованием и автотранспортом (без условий софинансирования с федеральным бюджетом) в рамках подпрограммы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t>
  </si>
  <si>
    <t>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на возмещение затрат по разработке проектно-сметной документации, по подготовке площадок для размещения резидентов и инфраструктуры технопарка, в том числе на проведение коммуникаций, строительство (реконструкцию) офисных и производственных площадей, по приобретению офисного и технологического оборудования в рамках подпрограммы "Развитие малого и среднего предпринимательства в Липецкой области на 2014-2020 годы" государственной программы Липецкой области "Модернизация и инновационное развитие экономики Липецкой области"</t>
  </si>
  <si>
    <t>Предоставление субсидий местным бюджетам на реализацию муниципальных программ, направленных на оснащение кинотеатров необходимым оборудованием для осуществления кинопоказов с подготовленным субтитрированием и тифлокомментированием в рамках подпрограммы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t>
  </si>
  <si>
    <t>субсидия  по  КОСГУ  310</t>
  </si>
  <si>
    <t>субвенция  МР</t>
  </si>
  <si>
    <t xml:space="preserve">предоставление субсидий субъектам малого и среднего предпринимательства монопрофильных муниципальных образований на возмещение части затрат по уплате процентов по кредитам и договорам лизинга, первого взноса по договорам лизинга, по созданию и (или) развитию центров времяпрепровождения детей дошкольного возраста, на возмещение части затрат субъектов социального предпринимательства) </t>
  </si>
  <si>
    <t>12 2 04 86180</t>
  </si>
  <si>
    <t>Предоставление субсидий местным бюджетам на реализацию муниципальных программ, содержащих мероприятия по модернизации объектов электросетевого комплекса, предназначенного для энергоснабжения потребителей, расположенных на территориях садоводческих некоммерческих товариществ в рамках подпрограммы "Развитие и модернизация электроэнергетики" государственной программы Липецкой области "Энергоэффективность и развитие энергетики в Липецкой области"</t>
  </si>
  <si>
    <t>14 2 07 86170</t>
  </si>
  <si>
    <t>08 6 09 86390</t>
  </si>
  <si>
    <t>16 2 09 86380</t>
  </si>
  <si>
    <t>Предоставление субсидий местным бюджетам на реализацию мероприятий муниципальных программ, направленных на организацию водоснабжения населения на территории городских округов в рамках подпрограммы «Улучшение качества жилищного фонда,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</si>
  <si>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Спорт высших достижений</t>
  </si>
  <si>
    <t>вид  расхода  523</t>
  </si>
  <si>
    <t>(виды  расхода  521  "Субсидии, за исключением субсидий на софинансирование капитальных вложений в объекты государственной (муниципальной) собственности",  522  "Субсидии на софинансирование капитальных вложений в объекты государственной (муниципальной) собственности"  и  523  "Консолидированные  субсидии")</t>
  </si>
  <si>
    <t>КС - 523</t>
  </si>
  <si>
    <t>ВР  523</t>
  </si>
  <si>
    <t>вид  расхода  523  "Консолидированные  субсидии"</t>
  </si>
  <si>
    <t>поддержка отрасли культуры (предоставление субсидий местным бюджетам на реализацию муниципальных программ, направленных на создание и модернизацию учреждений культурно-досугового типа в сельской местности, включая обеспечение инфраструктуры (в том числе строительство, реконструкцию и капитальный ремонт зданий), приобретение оборудования для оснащения учреждений и привлечение специалистов культурно-досуговой деятельности в целях обеспечения доступа к культурным ценностям и творческой самореализации жителей сельской местности)</t>
  </si>
  <si>
    <t>Целевые  статьи  01 6 04 86130,  01 6 04 R0272,  01 6 05 R0273,  01 6 05 86310,  01 6 09 86800</t>
  </si>
  <si>
    <t>01 6 04 R0272 - обл</t>
  </si>
  <si>
    <t>01 6 04 R0272 - фед</t>
  </si>
  <si>
    <t>предоставление cубсидий бюджетам муниципальных образований на реализацию муниципальных программ, содержащих мероприятия по созданию в общеобразовательных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и оснащение общеобразовательных организаций специальным, в том числе учебным, реабилитационным, компьютерным оборудованием и автотранспортом</t>
  </si>
  <si>
    <t>01 6 04 R0272</t>
  </si>
  <si>
    <t>Реализация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на условиях софинансирования с федеральным бюджетом (предоставление cубсидий бюджетам муниципальных образований на реализацию муниципальных программ, содержащих мероприятия по созданию в общеобразовательных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и оснащение общеобразовательных организаций специальным, в том числе учебным, реабилитационным, компьютерным оборудованием и автотранспортом) в рамках подпрограммы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t>
  </si>
  <si>
    <t>0605</t>
  </si>
  <si>
    <t>Другие вопросы в области охраны окружающей среды</t>
  </si>
  <si>
    <t>14 2 08 86190</t>
  </si>
  <si>
    <t>Предоставление субсидий местным бюджетам на реализацию муниципальных программ, направленных на создание условий для предоставления транспортных услуг населению и организацию транспортного обслуживания населения в границах  поселения, городского округа, между поселениями в границах муниципального района, на садоводческих маршрутах в рамках подпрограммы "Развитие пассажирского транспорта общего пользования" государственной программы Липецкой области "Развитие транспортной системы Липецкой области"</t>
  </si>
  <si>
    <t>14 1 08 86300</t>
  </si>
  <si>
    <t>Предоставление субсидий местным бюджетам на реализацию муниципальных программ, направленных на обеспечение дорожной деятельности в части строительства (реконструкции) уникальных искусственных дорожных сооружений в рамках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t>
  </si>
  <si>
    <t>Предоставление субсидий местным бюджетам на реализацию муниципальных программ, направленных на приобретение транспортных средств (автобусов) с электрическим двигателем для осуществления перевозок пассажиров по муниципальным маршрутам регулярных перевозок городского сообщения в рамках подпрограммы "Развитие пассажирского транспорта общего пользования" государственной программы Липецкой области "Развитие транспортной системы Липецкой области"</t>
  </si>
  <si>
    <t xml:space="preserve">Субсидии бюджетам поселений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t>
  </si>
  <si>
    <t>Прочие межбюджетные трансферты, передаваемые бюджетам сельских поселений  (2 02 49999 10 0000 150)</t>
  </si>
  <si>
    <t>Прочие межбюджетные трансферты, передаваемые бюджетам городских поселений  (2 02 49999 13 0000 150)</t>
  </si>
  <si>
    <t>Прочие межбюджетные трансферты, передаваемые бюджетам городских округов  (2 02 49999 04 0000 150)</t>
  </si>
  <si>
    <t>Прочие межбюджетные трансферты, передаваемые бюджетам муниципальных районов  (2 02 49999 05 0000 150)</t>
  </si>
  <si>
    <t>Межбюджетные трансферты, передаваемые бюджетам на создание в субъектах Российской Федерации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(000 2 02 45159 00 0000 150)</t>
  </si>
  <si>
    <t>Субвенции  бюджетам  на  государственную  регистрацию  актов  гражданского  состояния   (000 2 02 35930 00 0000 150)</t>
  </si>
  <si>
    <t>Субвенции  бюджетам  городских  округов  на  государственную  регистрацию  актов  гражданского  состояния    (000 2 02 35930 04 0000 150)</t>
  </si>
  <si>
    <t>Субвенции  бюджетам  муниципальных  районов  на  государственную  регистрацию  актов  гражданского  состояния (000 2 02 35930 05 0000 150)</t>
  </si>
  <si>
    <t>Субвенции бюджетам на 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    (000 2 02 35176 00 0000 150)</t>
  </si>
  <si>
    <t>Субвенции бюджетам городских округов на 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    (000 2 02 35176 04 0000 150)</t>
  </si>
  <si>
    <t>Субвенции бюджетам муниципальных районов на 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    (000 2 02 35176 05 0000 150)</t>
  </si>
  <si>
    <t>Субвенции бюджетам на обеспечение жильем отдельных категорий граждан, установленных федеральным законом от 12 января 1995 года № 5-ФЗ "О ветеранах" (000 2 02 35135 00 0000 150)</t>
  </si>
  <si>
    <t>Субвенции бюджетам городских округов на обеспечение жильем отдельных категорий граждан, установленных федеральным законом от 12 января 1995 года № 5-ФЗ "О ветеранах" (000 2 02 35135 04 0000 150)</t>
  </si>
  <si>
    <t>Субвенции бюджетам муниципальных районов на обеспечение жильем отдельных категорий граждан, установленных федеральным законом от 12 января 1995 года № 5-ФЗ "О ветеранах"  (000 2 02 35135 05 0000 150)</t>
  </si>
  <si>
    <t>Субвенции бюджетам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00 0000 150)</t>
  </si>
  <si>
    <t>Субвенции бюджетам городских округов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04 0000 150)</t>
  </si>
  <si>
    <t>Субвенции бюджетам муниципальных районов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05 0000 150)</t>
  </si>
  <si>
    <t>Субвенции бюджетам на составление (изменение) списков кандидатов в присяжные заседатели федеральных судов общей юрисдикции в Российской Федерации     (000 2 02 35120 00 0000 150)</t>
  </si>
  <si>
    <t xml:space="preserve"> Субвенции бюджетам городских  округов на составление (изменение) списков кандидатов в присяжные заседатели федеральных судов общей юрисдикции в Российской Федерации  (000 2 02 35120 04 0000 150)</t>
  </si>
  <si>
    <t xml:space="preserve"> Субвенции бюджетам муниципальных  районов на составление (изменение) списков кандидатов в присяжные заседатели федеральных судов общей юрисдикции в Российской Федерации   (000 2 02 35120 05 0000 150)</t>
  </si>
  <si>
    <t>Субвенции бюджетам на осуществление первичного  воинского учета на территориях, где отсутствуют военные комиссариаты    (000 2 02 35118 00 0000 150)</t>
  </si>
  <si>
    <t>Субвенции бюджетам сельских поселений на осуществление первичного воинского учета на территориях, где отсутствуют военные комиссариаты  (000 2 02 35118 10 0000 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</si>
  <si>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      (000 2 02 30029 00 0000 150)</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</si>
  <si>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      (000 2 02 30029 04 0000 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</si>
  <si>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      (000 2 02 30029 05 0000 150)</t>
  </si>
  <si>
    <t>Субвенции бюджетам муниципальных образований на содержание ребенка в семье опекуна и приемной семье, а также вознаграждение, причитающееся приемному родителю       (000 2 02 30027 00 0000 150)</t>
  </si>
  <si>
    <t>Субвенции бюджетам городских округов на содержание ребенка в семье опекуна и приемной семье, а также вознаграждение, причитающееся приемному родителю       (000 2 02 30027 04 0000 150)</t>
  </si>
  <si>
    <t>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       (000 2 02 30027 05 0000 150)</t>
  </si>
  <si>
    <t>Субвенции местным бюджетам на выполнение передаваемых полномочий субъектов  Российской  Федерации   (000 2 02 30024 00 0000 150)</t>
  </si>
  <si>
    <t>Субвенции бюджетам городских округов на выполнение передаваемых полномочий субъектов  Российской  Федерации  (000 2 02 30024 04 0000 150)</t>
  </si>
  <si>
    <t>Субвенции бюджетам муниципальных районов на выполнение передаваемых полномочий субъектов  Российской  Федерации  (000 2 02 30024 05 0000 150)</t>
  </si>
  <si>
    <t>Прочие  субсидии    ( 000 2 02 29999 00 0000 150 )</t>
  </si>
  <si>
    <t>Прочие  субсидии  бюджетам  сельских  поселений  (000 2 02 29999 10 0000 150)</t>
  </si>
  <si>
    <t>Прочие  субсидии  бюджетам  городских  поселений  (000 2 02 29999 13 0000 150)</t>
  </si>
  <si>
    <t>Прочие  субсидии  бюджетам  городских  округов      ( 000 2 02 29999 04 0000 150 )</t>
  </si>
  <si>
    <t>Прочие  субсидии  бюджетам  муниципальных  районов      ( 000 2 02 29999 05 0000 150 )</t>
  </si>
  <si>
    <t>Субвенции бюджетам бюджетной системы Российской Федерации  (000 2 02 30000 00 000 150)</t>
  </si>
  <si>
    <t>Иные межбюджетные трансферты (000 2 02 04000 00 0000 150)</t>
  </si>
  <si>
    <t>Субсидии бюджетам на реализацию мероприятий по содействию созданию в субъектах Российской Федерации новых мест в общеобразовательных организациях    ( 000 2 02 25520 00 0000 150 )</t>
  </si>
  <si>
    <t>Субсидии бюджетам городских округов на реализацию мероприятий по содействию созданию в субъектах Российской Федерации новых мест в общеобразовательных организациях   ( 000 2 02 25520 04 0000 150 )</t>
  </si>
  <si>
    <t>Субсидии бюджетам муниципальных районов на реализацию мероприятий по содействию созданию в субъектах Российской Федерации новых мест в общеобразовательных организациях   ( 000 2 02 25520 05 0000 150 )</t>
  </si>
  <si>
    <t>Субсидия бюджетам на поддержку отрасли культуры    ( 000 2 02 25519 00 0000 150 )</t>
  </si>
  <si>
    <t>Субсидия бюджетам городских округов на поддержку отрасли культуры    ( 000 2 02 25519 04 0000 150 )</t>
  </si>
  <si>
    <t>Субсидия бюджетам муниципальных районов на поддержку отрасли культуры    ( 000 2 02 25519 05 0000 150 )</t>
  </si>
  <si>
    <t>Субсидия бюджетам сельских поселений на поддержку отрасли культуры    (000 2 02 25519 10 0000 150)</t>
  </si>
  <si>
    <t>Субсидия бюджетам городских поселений на поддержку отрасли культуры    (000 2 02 25519 13 0000 150)</t>
  </si>
  <si>
    <t xml:space="preserve">Субсидии бюджетам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(000 2 02 25466 00 0000 150) </t>
  </si>
  <si>
    <t xml:space="preserve">Субсидии бюджетам городских округов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(000 2 02 25466 04 0000 150) </t>
  </si>
  <si>
    <t xml:space="preserve">Субсидии бюджетам муниципальных районов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(000 2 02 25466 05 0000 150) </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</si>
  <si>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(000 2 02 20302 00 0000 150)</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</si>
  <si>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(000 2 02 20302 04 0000 150)</t>
  </si>
  <si>
    <t>Субсидии бюджетам муниципальных районов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(000 2 02 20302 05 0000 150)</t>
  </si>
  <si>
    <t>Субсидии бюджетам сельских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(000 2 02 20302 10 0000 150)</t>
  </si>
  <si>
    <t>Субсидии бюджетам городских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(000 2 02 20302 13 0000 150)</t>
  </si>
  <si>
    <t xml:space="preserve">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(000 2 02 20216 00 0000 150)  </t>
  </si>
  <si>
    <t xml:space="preserve">Субсидии бюджетам городских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(000 2 02 20216 04 0000 150)  </t>
  </si>
  <si>
    <t xml:space="preserve">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(000 2 02 20216 05 0000 150)  </t>
  </si>
  <si>
    <t xml:space="preserve">Субсидии бюджетам сельских поселений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(000  2 02 20216 10 0000 150)  </t>
  </si>
  <si>
    <t xml:space="preserve">Субсидии бюджетам городских поселений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(000 2 02 20216 13 0000 150)  </t>
  </si>
  <si>
    <t>Дотации  на  выравнивание  бюджетной  обеспеченности   (000 2 02 15001 00 0000 150)</t>
  </si>
  <si>
    <t>Предоставление субсидий местным бюджетам на реализацию муниципальных программ, направленных на выполнение требований антитеррористической защищенности образовательных организаций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</si>
  <si>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14 1 R1 53934</t>
  </si>
  <si>
    <t>Целевая  статья  14 1 R1 53934</t>
  </si>
  <si>
    <t>Целевая  статья  05 1 Р2 51590</t>
  </si>
  <si>
    <t>05 1 Р2 87050</t>
  </si>
  <si>
    <t>Предоставление иных межбюджетных трансфертов местным бюджетам на реализацию муниципальных программ, направленных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без условий софинансирования с федеральным бюджетом в рамках регионального проекта "Содействие занятости женщин - создание условий дошкольного образования для детей в возрасте до трех лет"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</si>
  <si>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05 1 Р2 51590</t>
  </si>
  <si>
    <t>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в рамках регионального проекта "Содействие занятости женщин - создание условий дошкольного образования для детей в возрасте до трех лет"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</si>
  <si>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20 1 06 86420</t>
  </si>
  <si>
    <t>ВР  540</t>
  </si>
  <si>
    <t>14 2 09 86260</t>
  </si>
  <si>
    <t>Предоставление субсидий местным бюджетам на реализацию муниципальных программ, направленных на ремонт подвижного состава и инфраструктуры городского наземного электрического транспорта в рамках подпрограммы "Развитие пассажирского транспорта общего пользования" государственной программы Липецкой области "Развитие транспортной системы Липецкой области"</t>
  </si>
  <si>
    <t>Предоставление субсидий местным бюджетам на реализацию муниципальных программ, направленных на создание условий для обеспечения услугами торговли и бытового обслуживания поселений, входящих в состав муниципального района в рамках подпрограммы "Развитие торговли Липецкой области на 2014-2016 годы и на период до 2024 года"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</si>
  <si>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Предоставление субсидий местным бюджетам на реализацию муниципальных программ, направленных на развитие  сельскохозяйственного производства в поселениях в части стимулирования развития заготовительной деятельности и (или) первичной переработки сельскохозяйственной продукции в рамках подпрограммы "Развитие сельскохозяйственного производства в поселениях в части стимулирования развития заготовительной деятельности и (или) первичной переработки сельскохозяйственной продукции на 2014-2024 годы"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</si>
  <si>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Субсидии местным бюджетам на реализацию  муниципальных программ, направленных на развитие  сельскохозяйственного производства в поселениях в части стимулирования развития заготовительной деятельности и (или) первичной переработки сельскохозяйственной продукции в рамках подпрограммы "Развитие сельскохозяйственного производства в поселениях в части стимулирования развития заготовительной деятельности и (или) первичной переработки сельскохозяйственной продукции на 2014-2024 годы"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</si>
  <si>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генератор  отчетов  (иные  МБТ  по  целевой  с  R с  fed)</t>
  </si>
  <si>
    <t>06 1 A2 86280</t>
  </si>
  <si>
    <t xml:space="preserve">Предоставление субсидий местным бюджетам на реализацию муниципальных программ, направленных на создание условий для организации досуга и обеспечения услугами организаций культуры жителей муниципальных районов, городских округов и поселений в части подготовки кадров учреждений культуры в рамках регионального проекта "Творческие люди"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t>
  </si>
  <si>
    <t>05 5 E1 55200</t>
  </si>
  <si>
    <t>05 5 E1 55200 - фед</t>
  </si>
  <si>
    <t>Создание новых мест в общеобразовательных организациях в рамках регионального проекта "Современная школа" подпрограммы "Создание современной образовательной среды для школьников" государственной программы Липецкой области "Развитие образования Липецкой области"</t>
  </si>
  <si>
    <t>05 1 Е2 50970</t>
  </si>
  <si>
    <t>Целевая  статья  05 1 Е2 50970</t>
  </si>
  <si>
    <t>05 1 Е2 50970 - обл</t>
  </si>
  <si>
    <t>05 1 Е2 50970 - фед</t>
  </si>
  <si>
    <t>05 1 Р2 52320</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</si>
  <si>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в рамках регионального проекта "Содействие занятости женщин - создание условий дошкольного образования для детей в возрасте до трех лет"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</si>
  <si>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06 1 A1 55196</t>
  </si>
  <si>
    <t>06 1 A1 55196 - обл</t>
  </si>
  <si>
    <t>06 1 A1 55196 - фед</t>
  </si>
  <si>
    <t xml:space="preserve">Поддержка отрасли культуры (предоставление субсидий местным бюджетам на реализацию муниципальных программ, направленных на создание и модернизацию учреждений культурно-досугового типа в сельской местности, включая обеспечение инфраструктуры (в том числе строительство, реконструкцию и капитальный ремонт зданий), приобретение оборудования для оснащения учреждений и привлечение специалистов культурно-досуговой деятельности в целях обеспечения доступа к культурным ценностям и творческой самореализации жителей сельской местности) в рамках регионального проекта  "Культурная среда"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t>
  </si>
  <si>
    <t>Целевая  статья  05 1 Р2 52320</t>
  </si>
  <si>
    <t>05 1 Р2 52320 - обл</t>
  </si>
  <si>
    <t>05 1 Р2 52320 - фед</t>
  </si>
  <si>
    <t>Субсидии бюджетам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(000 2 02 25466 00 0000 150)</t>
  </si>
  <si>
    <t>Субвенции бюджетам на осуществление первичного  воинского учета на территориях, где отсутствуют военные комиссариаты  ( 000 2 02 35118 00 0000 150 )</t>
  </si>
  <si>
    <t>Субвенции бюджетам городских  округов на составление (изменение) списков кандидатов в присяжные заседатели федеральных судов общей юрисдикции в Российской Федерации   ( 000 2 02 35120 00 0000 150 )</t>
  </si>
  <si>
    <t>Субвенции бюджетам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00 0000 150)</t>
  </si>
  <si>
    <t>Субвенции  бюджетам  на  государственную  регистрацию  актов  гражданского  состояния    ( 000 2 02 35930 00 0000 150 )</t>
  </si>
  <si>
    <t>Субвенции бюджетам на обеспечение жильем отдельных категорий граждан, установленных федеральным законом от 12 января 1995 года № 5-ФЗ "О ветеранах"   (000 2 02 35135  00 0000 150)</t>
  </si>
  <si>
    <t>Иные межбюджетные трансферты ( 000 2 02 40000 00 0000 150 )</t>
  </si>
  <si>
    <t>04 1 Р5 52281</t>
  </si>
  <si>
    <t>Реализация мероприятий, направленных на оснащение объектов спортивной инфраструктуры спортивно-технологическим оборудованием (на создание или модернизацию футбольных полей с искусственным покрытием и легкоатлетическими беговыми дорожками) в рамках регионального проекта "Спорт-норма жизни" подпрограммы "Развитие спорта высших достижений и системы подготовки спортивного резерва Липецкой области" государственной программы Липецкой области "Развитие физической культуры и спорта Липецкой области"</t>
  </si>
  <si>
    <t>04 1 Р5 52281 - фед</t>
  </si>
  <si>
    <t>Субсидии бюджетам на оснащение объектов спортивной инфраструктуры спортивно-технологическим оборудованием  (000 2 02 25228 00 0000 150)</t>
  </si>
  <si>
    <t>Субсидии бюджетам городских округов на оснащение объектов спортивной инфраструктуры спортивно-технологическим оборудованием  (000 2 02 25228 04 0000 150)</t>
  </si>
  <si>
    <t>Субсидии бюджетам муниципальных районов на оснащение объектов спортивной инфраструктуры спортивно-технологическим оборудованием  (000 2 02 25228 05 0000 150)</t>
  </si>
  <si>
    <t>областные  средства  по  ЦС  с  R  и  по  5</t>
  </si>
  <si>
    <t>федеральные  средства  по  ЦС  с  R  и  по  5</t>
  </si>
  <si>
    <t>форма  0503324</t>
  </si>
  <si>
    <t xml:space="preserve">УТОЧНЕННЫЙ  ПЛАН  И  ИСПОЛНЕНИЕ  ПО  МЕЖБЮДЖЕТНЫМ  ТРАНСФЕРТАМ  </t>
  </si>
  <si>
    <t>Предоставление субсидий местным бюджетам на реализацию муниципальных программ, направленных на приобретение автобусов для осуществления перевозок пассажиров по маршрутам регулярных перевозок по регулируемым тарифам в рамках подпрограммы "Развитие пассажирского транспорта общего пользования" государственной программы Липецкой области "Развитие транспортной системы Липецкой области"</t>
  </si>
  <si>
    <t>Закон  Липецкой  области  от  27.12.2007  года  №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 в части ежемесячной  социальной  выплаты  в  связи  с  усыновлением  (удочерением)  ребенка - сироты  или  ребенка,  оставшегося  без  попечения  родителей</t>
  </si>
  <si>
    <t>Закон  Липецкой  области  от  27.12.2007  года  № 119-ОЗ "О  наделении  органов  местного  самоуправления  отдельными  государственными  полномочиями  в  сфере  образования"  в части социальных выплат детям из многодетных семей, обучающимся в муниципальных общеобразовательных организациях и в частных общеобразовательных организациях, имеющих государственную аккредитацию, для обеспечения школьной формой либо заменяющим ее комплектом детской одежды для посещения школьных занятий и спортивной формой</t>
  </si>
  <si>
    <t xml:space="preserve">    Закон  Липецкой  области  от  27.12.2007  года  № 119-ОЗ "О  наделении  органов  местного  самоуправления  отдельными  государственными  полномочиями  в  сфере  образования"  в части социальных выплат на питание обучающимся в муниципальных общеобразовательных организациях, в частных общеобразовательных организациях, имеющих государственную аккредитацию</t>
  </si>
  <si>
    <t>Закон  Липецкой  области  от  19.08.2008  года  № 180-ОЗ  "О нормативах финансирования общеобразовательных организаций"</t>
  </si>
  <si>
    <t>СВЕДЕНИЯ  О  НЕРАСПРЕДЕЛЕННЫХ  ИНЫХ  МЕЖБЮДЖЕТНЫХ  ТРАНСФЕРТАХ  В  2020  ГОДУ</t>
  </si>
  <si>
    <t>СВЕДЕНИЯ  О  НЕРАСПРЕДЕЛЕННОЙ  ДОТАЦИИ  В  2020  ГОДУ</t>
  </si>
  <si>
    <t>МЕЖБЮДЖЕТНЫЕ  ТРАНСФЕРТЫ  В  2020  ГОДУ</t>
  </si>
  <si>
    <t>ФЕДЕРАЛЬНЫЕ  СРЕДСТВА  В  2020  ГОДУ</t>
  </si>
  <si>
    <t xml:space="preserve">16 2 G1 52421 </t>
  </si>
  <si>
    <t>Реализация мероприятий по ликвидации несанкционированных свалок в границах городов и наиболее опасных объектов накопленного экологического вреда окружающей среде (предоставление субсидий местным бюджетам на реализацию муниципальных программ, направленных на ликвидацию несанкционированных свалок в границах городов и наиболее опасных объектов накопленного экологического вреда окружающей среде) в рамках регионального проекта "Чистая страна" подпрограммы «Обращение с отходами на территории Липецкой области»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t>
  </si>
  <si>
    <t>Целевая  статья  16 2 G1 52421</t>
  </si>
  <si>
    <t>16 2 G1 52421 - обл</t>
  </si>
  <si>
    <t>16 2 G1 52421 - фед</t>
  </si>
  <si>
    <t>05 5 Е1 52300</t>
  </si>
  <si>
    <t>Целевая  статья  05 5 Е1 52300</t>
  </si>
  <si>
    <t>05 5 Е1 52300 - обл</t>
  </si>
  <si>
    <t>05 5 Е1 52300 - фед</t>
  </si>
  <si>
    <t>Создание новых мест в общеобразовательных организациях, расположенных в сельской местности и поселках городского типа в рамках регионального проекта "Современная школа" подпрограммы "Создание современной образовательной среды для школьников" государственной программы Липецкой области "Развитие образования Липецкой области"</t>
  </si>
  <si>
    <t>04 1 Р5 51391</t>
  </si>
  <si>
    <t>Целевая  статья  04 1 Р5 51391</t>
  </si>
  <si>
    <t>04 1 Р5 51391 - обл</t>
  </si>
  <si>
    <t>04 1 Р5 51391 - фед</t>
  </si>
  <si>
    <t>04 2 Р5 52292</t>
  </si>
  <si>
    <t>Субсидии бюджетам на приобретение спортивного оборудования и инвентаря для приведения организаций спортивной подготовки в нормативное состояние  (000 2 02 25229 00 0000 150)</t>
  </si>
  <si>
    <t>Субсидии бюджетам городских округов на приобретение спортивного оборудования и инвентаря для приведения организаций спортивной подготовки в нормативное состояние  (000 2 02 25229 04 0000 150)</t>
  </si>
  <si>
    <t>Субсидии бюджетам муниципальных районов на приобретение спортивного оборудования и инвентаря для приведения организаций спортивной подготовки в нормативное состояние  (000 2 02 25229 05 0000 150)</t>
  </si>
  <si>
    <t>04 1 Р5 52282</t>
  </si>
  <si>
    <t>11 4 I5 55276</t>
  </si>
  <si>
    <t>Государственная поддержка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на возмещение затрат по разработке проектно-сметной документации, по подготовке площадок для размещения резидентов и инфраструктуры технопарка, в том числе на проведение коммуникаций, строительство (реконструкцию) офисных и производственных площадей, по приобретению офисного и технологического оборудования) в рамках регионального проекта "Акселерация субъектов малого и среднего предпринимательства" подпрограммы "Развитие малого и среднего предпринимательства в Липецкой области на 2014-2020 годы" государственной программы Липецкой области "Модернизация и инновационное развитие экономики Липецкой области"</t>
  </si>
  <si>
    <t>11 4 I5 55276 - фед</t>
  </si>
  <si>
    <t>всего  план</t>
  </si>
  <si>
    <t>всего  факт</t>
  </si>
  <si>
    <t>ГО  план</t>
  </si>
  <si>
    <t>ГО  факт</t>
  </si>
  <si>
    <t>МР  план</t>
  </si>
  <si>
    <t>МР  факт</t>
  </si>
  <si>
    <t>ГП  план</t>
  </si>
  <si>
    <t>ГП  факт</t>
  </si>
  <si>
    <t>СП  план</t>
  </si>
  <si>
    <t>СП  факт</t>
  </si>
  <si>
    <t>Всего  МБТ</t>
  </si>
  <si>
    <t>Дотация</t>
  </si>
  <si>
    <t>выравнивание</t>
  </si>
  <si>
    <t>сбалансированность</t>
  </si>
  <si>
    <t>гранты</t>
  </si>
  <si>
    <t>Субсидия</t>
  </si>
  <si>
    <t>310 КОСГУ</t>
  </si>
  <si>
    <t>Субвенция</t>
  </si>
  <si>
    <t>Иные  МБТ</t>
  </si>
  <si>
    <t>план</t>
  </si>
  <si>
    <t xml:space="preserve">Целевая  статья  01 6 04 R0272  </t>
  </si>
  <si>
    <t xml:space="preserve">Целевая  статья  01 6 05 R0273  </t>
  </si>
  <si>
    <t xml:space="preserve">Целевая  статья  05 1 Е2 50970  </t>
  </si>
  <si>
    <t xml:space="preserve">Целевая  статья  04 1 Р5 51391  </t>
  </si>
  <si>
    <t xml:space="preserve">Целевая  статья  04 1 Р5 52281 </t>
  </si>
  <si>
    <t xml:space="preserve">Целевая  статья  04 1 Р5 52282  </t>
  </si>
  <si>
    <t xml:space="preserve">Целевая  статья  04 2 Р5 52292  </t>
  </si>
  <si>
    <t xml:space="preserve">Целевая  статья  05 5 E1 52300 </t>
  </si>
  <si>
    <t xml:space="preserve">Целевая  статья  05 1 Р2 52320 </t>
  </si>
  <si>
    <t xml:space="preserve">Целевая  статья  16 2 G1 52421 </t>
  </si>
  <si>
    <t xml:space="preserve">Целевая  статья  06 1 63 R4660  </t>
  </si>
  <si>
    <t xml:space="preserve">Целевая  статья  06 1 62 R4670  </t>
  </si>
  <si>
    <t xml:space="preserve">Целевая  статья  06 1 15 R5192 </t>
  </si>
  <si>
    <t xml:space="preserve">Целевая  статья  06 1 A1 55196 </t>
  </si>
  <si>
    <t xml:space="preserve">Целевая  статья  05 5 E1 55200  </t>
  </si>
  <si>
    <t xml:space="preserve">Целевая  статья  11 4 I5 55276 </t>
  </si>
  <si>
    <t xml:space="preserve">Целевая  статья  11 4 08 R5276 </t>
  </si>
  <si>
    <t>08 1 01 85010</t>
  </si>
  <si>
    <t>Целевые  статьи  01 1 01 85180,  01 1 01 85250,  01 4 02 85130,  01 4 02 85140,  01 4 04 85080,  01 5 03 85320,  01 7 01 85360,  01 7 02 85150,  02 4 01 85340,  05 1 13 85350,  05 1 14 85090,  05 1 14 85160,  05 1 14 85420,  06 3 01 85060,  08 1 01 85010,  09 1 01 85070,  13 5 02 85170,  99 9 00 85270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</si>
  <si>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    (000 2 02 20299 00 0000 150)</t>
  </si>
  <si>
    <t>Предоставление субсидий местным бюджетам на реализацию муниципальных программ, направленных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Фонда содействия реформированию жилищно-коммунального хозяйства в рамках регионального проекта "Обеспечение устойчивого сокращения непригодного для проживания жилищного фонда" подпрограммы «Улучшение качества жилищного фонда,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</si>
  <si>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 xml:space="preserve">Субсидии бюджетам на софинансирование капитальных вложений в объекты муниципальной собственности  (000 2 02 20077 00 0000 150)  </t>
  </si>
  <si>
    <t xml:space="preserve">Субсидии бюджетам городских округов на софинансирование капитальных вложений в объекты муниципальной собственности   (000 2 02 20077 04 0000 150)  </t>
  </si>
  <si>
    <t xml:space="preserve">Субсидии бюджетам муниципальных районов на софинансирование капитальных вложений в объекты муниципальной собственности   (000 2 02 20077 05 0000 150)   </t>
  </si>
  <si>
    <t xml:space="preserve">Субсидии бюджетам сельских поселений на софинансирование капитальных вложений в объекты муниципальной собственности   (000 2 02 20077 10 0000 150)     </t>
  </si>
  <si>
    <t xml:space="preserve">Субсидии бюджетам городских поселений на софинансирование капитальных вложений в объекты муниципальной собственности   (000 2 02 20077 13 0000 150)     </t>
  </si>
  <si>
    <t>создание малых спортивных площадок, монтируемых на открытых площадках или в закрытых помещениях, на которых возможно проводить тестирование населения в соответствии со Всероссийским физкультурно-спортивным комплексом «Готов к труду и обороне» (ГТО)</t>
  </si>
  <si>
    <t>Реализация мероприятий, направленных на оснащение объектов спортивной инфраструктуры спортивно-технологическим оборудованием (субсидии бюджетам муниципальных районов и городских округов на реализацию муниципальных программ, направленных на создание малых спортивных площадок, монтируемых на открытых площадках или в закрытых помещениях, на которых возможно проводить тестирование населения в соответствии со Всероссийским физкультурно-спортивным комплексом «Готов к труду и обороне» (ГТО)) в рамках регионального проекта "Спорт-норма жизни" подпрограммы "Развитие физической культуры и массового спорта" государственной программы Липецкой области "Развитие физической культуры и спорта Липецкой области"</t>
  </si>
  <si>
    <t>создание или модернизация футбольных полей с искусственным покрытием</t>
  </si>
  <si>
    <t xml:space="preserve">Реализация мероприятий, направленных на приобретение спортивного оборудования и инвентаря для приведения организаций спортивной подготовки в нормативное состояние (субсидии бюджетам муниципальных районов и городских округов на реализацию муниципальных программ, направленных на совершенствование спортивной подготовки по хоккею) в рамках регионального проекта "Спорт-норма жизни" подпрограммы "Развитие спорта высших достижений и системы подготовки спортивного резерва Липецкой области" государственной программы Липецкой области "Развитие физической культуры и спорта Липецкой области" </t>
  </si>
  <si>
    <t>совершенствование спортивной подготовки по хоккею</t>
  </si>
  <si>
    <t xml:space="preserve">Финансовое обеспечение дорожной деятельности в рамках реализации национального проекта «Безопасные и качественные автомобильные дороги» (предоставление иных межбюджетных трансфертов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Липецкой агломерации) в рамках регионального проекта "Дорожная сеть"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 </t>
  </si>
  <si>
    <t>предоставление иных межбюджетных трансфертов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Липецкой агломерации</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</si>
  <si>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   (000 2 02 45393 00 0000 150 )</t>
  </si>
  <si>
    <t>Межбюджетные трансферты, передаваемые бюджетам городских округов на финансовое обеспечение дорожной деятельности в рамках реализации национального проекта "Безопасные и качественные автомобильные дороги"   (000 2 02 45393 04 0000 150 )</t>
  </si>
  <si>
    <t xml:space="preserve">Межбюджетные трансферты, передаваемые бюджетам поселений на финансовое обеспечение дорожной деятельности в рамках реализации национального проекта "Безопасные и качественные автомобильные дороги"   </t>
  </si>
  <si>
    <t>Межбюджетные трансферты, передаваемые бюджетам муниципальных районов на финансовое обеспечение дорожной деятельности в рамках реализации национального проекта "Безопасные и качественные автомобильные дороги"   (000 2 02 45393 05 0000 150 )</t>
  </si>
  <si>
    <t>Межбюджетные трансферты, передаваемые бюджетам сельских поселений на финансовое обеспечение дорожной деятельности в рамках реализации национального проекта "Безопасные и качественные автомобильные дороги"   (000 2 02 45393 10 0000 150 )</t>
  </si>
  <si>
    <t>Межбюджетные трансферты, передаваемые бюджетам городских поселений на финансовое обеспечение дорожной деятельности в рамках реализации национального проекта "Безопасные и качественные автомобильные дороги"   (000 2 02 45393 13 0000 150 )</t>
  </si>
  <si>
    <t>05 1 12 86590</t>
  </si>
  <si>
    <t>Предоставление субсидий местным бюджетам на реализацию муниципальных программ, направленных на повышение квалификации педагогических работников муниципальных образовательных организаций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</si>
  <si>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Предоставление субсидии бюджетам муниципальных районов и городских округов на реализацию муниципальных программ, направленных на обеспечение уровня финансирования организаций, осуществляющих спортивную подготовку в соответствии с требованиями федеральных стандартов спортивной подготовки в рамках регионального проекта "Спорт-норма жизни" подпрограммы "Развитие спорта высших достижений и системы подготовки спортивного резерва Липецкой области" государственной программы Липецкой области "Развитие физической культуры и спорта Липецкой области"</t>
  </si>
  <si>
    <t>04 2 Р5 86820</t>
  </si>
  <si>
    <t xml:space="preserve">Предоставление субсидии бюджетам муниципальных районов и городских округов на реализацию муниципальных программ, направленных на обеспечение уровня финансирования организаций, осуществляющих спортивную подготовку в соответствии с требованиями федеральных стандартов спортивной подготовки в рамках регионального проекта "Спорт-норма жизни" подпрограммы "Развитие спорта высших достижений и системы подготовки спортивного резерва Липецкой области" государственной программы Липецкой области "Развитие физической культуры и спорта Липецкой области"- </t>
  </si>
  <si>
    <t>Субсидии бюджетам на реализацию федеральной целевой программы "Развитие физической культуры и спорта в Российской Федерации на 2016 - 2020 годы"   ( 000 2 02 25495 00 0000 150 )</t>
  </si>
  <si>
    <t>Субсидии бюджетам городских округов на реализацию федеральной целевой программы "Развитие физической культуры и спорта в Российской Федерации на 2016 - 2020 годы"   ( 000 2 02 25495 04 0000 150 )</t>
  </si>
  <si>
    <t>Субсидии бюджетам муниципальных районов на реализацию федеральной целевой программы "Развитие физической культуры и спорта в Российской Федерации на 2016 - 2020 годы"   ( 000 2 02 25495 05 0000 150 )</t>
  </si>
  <si>
    <t>04 1 P5 54951 - обл</t>
  </si>
  <si>
    <t>04 1 P5 54951- фед</t>
  </si>
  <si>
    <t>Целевая  статья  04 1 P5 54951</t>
  </si>
  <si>
    <t>предоставление субсидий бюджетам муниципальных районов и городских округов на реализацию муниципальных программ, направленных на строительство спортивных объектов шаговой доступности</t>
  </si>
  <si>
    <t>04 1 P5 54951</t>
  </si>
  <si>
    <t>Реализация федеральной целевой программы «Развитие физической культуры и спорта в Российской Федерации на 2016 - 2020 годы" (предоставление субсидий бюджетам муниципальных районов и городских округов на реализацию муниципальных программ, направленных на строительство спортивных объектов шаговой доступности) в рамках регионального проекта "Спорт-норма жизни" подпрограммы "Развитие физической культуры и массового спорта" государственной программы Липецкой области "Развитие физической культуры и спорта Липецкой области"</t>
  </si>
  <si>
    <t>вид  расхода  522</t>
  </si>
  <si>
    <t>07 1 06 86860</t>
  </si>
  <si>
    <t>Предоставление субсидии местным бюджетам на реализацию муниципальных программ, направленных на поддержку осуществления деятельности сельскохозяйственных кредитных потребительских кооперативов в рамках подпрограммы "Развитие сети кооперативов всех направлений на 2014 - 2024 годы" государственной программы Липецкой области "Развитие кооперации и коллективных форм собственности в Липецкой области"</t>
  </si>
  <si>
    <t>Предоставление субсидии местным бюджетам на реализацию муниципальных программ, направленных на поддержку осуществления деятельности сельскохозяйственных кредитных потребительских кооперативов) в рамках подпрограммы "Развитие сети кооперативов всех направлений на 2014 - 2024 годы" государственной программы Липецкой области "Развитие кооперации и коллективных форм собственности в Липецкой области"</t>
  </si>
  <si>
    <t>Субвенции бюджетам на проведение Всероссийской переписи населения 2020 года   (000 2 02 35469 00 0000 150)</t>
  </si>
  <si>
    <t>Субвенции бюджетам городских округов на проведение Всероссийской переписи населения 2020 года   (000 2 02 35469 04 0000 150)</t>
  </si>
  <si>
    <t>Субвенции бюджетам муниципальных районов на проведение Всероссийской переписи населения 2020 года   (000 2 02 35469 05 0000 150)</t>
  </si>
  <si>
    <t>10 1 13 R2991</t>
  </si>
  <si>
    <t>Целевая  статья  10 1 10 R2991</t>
  </si>
  <si>
    <t xml:space="preserve">Субсидии бюджетам поселений на обустройство и восстановление воинских захоронений, находящихся в государственной собственности </t>
  </si>
  <si>
    <t>10 1 10 R2991 - обл</t>
  </si>
  <si>
    <t>10 1 10 R2991 - фед</t>
  </si>
  <si>
    <t>08 4 F1 50210</t>
  </si>
  <si>
    <t>Стимулирование программ развития жилищного строительства в рамках регионального проекта "Жилье" подпрограммы "Стимулирование жилищного строительства в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</si>
  <si>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Целевая  статья  08 4 F1 50210</t>
  </si>
  <si>
    <t>Субсидии бюджетам на реализацию мероприятий по стимулированию программ развития жилищного строительства субъектов Российской Федерации   (000 2 02 25021 00 0000 150)</t>
  </si>
  <si>
    <t>08 4 F1 50210 - обл</t>
  </si>
  <si>
    <t>08 4 F1 50210 - фед</t>
  </si>
  <si>
    <t>Субсидии бюджетам городских округов на реализацию мероприятий по стимулированию программ развития жилищного строительства субъектов Российской Федерации   (000 2 02 25021 04 0000 150)</t>
  </si>
  <si>
    <t>Субсидии бюджетам муниципальных районов на реализацию мероприятий по стимулированию программ развития жилищного строительства субъектов Российской Федерации   (000 2 02 25021 05 0000 150)</t>
  </si>
  <si>
    <t xml:space="preserve">10 3 05 86630 </t>
  </si>
  <si>
    <t>Предоставление субсидий местным бюджетам на реализацию муниципальных программ в части проведения мероприятий по укреплению единства российской нации и этнокультурному развитию народов России, социальной и культурной адаптации и интеграции мигрантов в общественное пространство Липецкой области в рамках подпрограммы "Реализация государственной национальной политики в Липецкой области" государственной программы Липецкой области "Реализация внутренней политики Липецкой области"</t>
  </si>
  <si>
    <t>Межбюджетные трансферты, передаваемые бюджетам на создание виртуальных концертных залов  (000 2 02 45453 00 0000 150)</t>
  </si>
  <si>
    <t>Межбюджетные трансферты, передаваемые бюджетам городских округов на создание виртуальных концертных залов  (000 2 02 45453 04 0000 150)</t>
  </si>
  <si>
    <t>Межбюджетные трансферты, передаваемые бюджетам муниципальных районов на создание виртуальных концертных залов  (000 2 02 45453 05 0000 150)</t>
  </si>
  <si>
    <t>06 1 А3 54530 - обл</t>
  </si>
  <si>
    <t>06 1 А3 54530 - фед</t>
  </si>
  <si>
    <t xml:space="preserve">Целевая  статья  06 1 А3 54530 </t>
  </si>
  <si>
    <t>Межбюджетные трансферты, передаваемые бюджетам на создание модельных муниципальных библиотек  (000 2 02 45454 00 0000 150)</t>
  </si>
  <si>
    <t>Межбюджетные трансферты, передаваемые бюджетам городских округов на создание модельных муниципальных библиотек  (000 2 02 45454 04 0000 150)</t>
  </si>
  <si>
    <t>Межбюджетные трансферты, передаваемые бюджетам муниципальных районов на создание модельных муниципальных библиотек  (000 2 02 45454 05 0000 150)</t>
  </si>
  <si>
    <t>06 1 А1 54540 - обл</t>
  </si>
  <si>
    <t>06 1 А1 54540 - фед</t>
  </si>
  <si>
    <t>Целевая  статья  06 1 А1 54540</t>
  </si>
  <si>
    <t xml:space="preserve"> 06 1 А1 54540</t>
  </si>
  <si>
    <t>Создание модельных муниципальных библиотек в рамках регионального проекта  "Культурная среда"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t>
  </si>
  <si>
    <t xml:space="preserve">Создание виртуальных концертных залов в рамках регионального проекта  "Цифровая культура"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t>
  </si>
  <si>
    <t>06 1 А3 54530</t>
  </si>
  <si>
    <t>04 1 41 86440</t>
  </si>
  <si>
    <t>Предоставление субсидий бюджетам муниципальных районов и городских округов на реализацию муниципальных программ, направленных на обеспечение условий для развития физической культуры и массового спорта в рамках подпрограммы "Развитие физической культуры и массового спорта на 2014-2020 годы" государственной программы Липецкой области "Развитие физической культуры и спорта Липецкой области"</t>
  </si>
  <si>
    <t>Реализация мероприятий, направленных на создание и модернизацию объектов спортивной инфраструктуры региональной собственности (муниципальной собственности) для занятий физической культурой и спортом (субсидии бюджетам муниципальных районов и городских округов на реализацию муниципальных программ, направленных на строительство и реконструкцию спортивной инфраструктуры (на строительство и реконструкцию иных физкультурно-оздоровительных комплексов и центров для массового спорта) в рамках регионального проекта "Спорт-норма жизни" подпрограммы "Развитие физической культуры и массового спорта" государственной программы Липецкой области "Развитие физической культуры и спорта Липецкой области"</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</si>
  <si>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  (000 2 02 27139 00 0000 150)</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</si>
  <si>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  (000 2 02 25097 00 0000 150)</t>
  </si>
  <si>
    <t>Субсидии бюджетам на создание новых мест в общеобразовательных организациях, расположенных в сельской местности и поселках городского типа  (000 2 02 25230 00 0000 150)</t>
  </si>
  <si>
    <t>Субсидии бюджетм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(000 2 02 25232 00 0000 150)</t>
  </si>
  <si>
    <t>Реализация мероприятий, направленных на создание и модернизацию объектов спортивной инфраструктуры региональной собственности (муниципальной собственности) для занятий физической культурой и спортом (субсидии бюджетам муниципальных районов и городских округов на реализацию муниципальных программ, направленных на строительство и реконструкцию спортивной инфраструктуры (на строительство и реконструкцию иных физкультурно-оздоровительных комплексов и центров для массового спорта)</t>
  </si>
  <si>
    <t>Субсидии бюджетам городских округов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  (000 2 02 27139 00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</si>
  <si>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  (000 2 02 27139 00 0000 150)</t>
  </si>
  <si>
    <t>20 1 F2 55550</t>
  </si>
  <si>
    <t>Реализация мероприятий, направленных на формирование современной городской среды в рамках регионального проекта "Формирование комфортной городской среды" подпрограммы "Развитие благоустройства территорий муниципальных образований Липецкой области" государственной программы Липецкой области "Формирование современной городской среды в Липецкой области"</t>
  </si>
  <si>
    <t>Целевая  статья  20 1 F2 55550</t>
  </si>
  <si>
    <t>Реализация мероприятий, направленных на формирование современной городской среды</t>
  </si>
  <si>
    <t>20 1 F2 55550 - обл</t>
  </si>
  <si>
    <t>20 1 F2 55550 - фед</t>
  </si>
  <si>
    <t>Предоставление субсидий местным бюджетам на реализацию муниципальных программ, направленных на разработку проектов по рекультивации земель (разработка проектно-сметной документации и прохождение ее государственной экологической экспертизы в соответствии с требованиями действующего законодательства Российской Федерации), на рекультивацию земель, находящихся в муниципальной собственности, нарушенных при складировании и захоронении отходов производства и потребления в рамках  подпрограммы «Обращение с отходами на территории Липецкой области»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t>
  </si>
  <si>
    <t xml:space="preserve">Предоставление субсидий местным бюджетам на реализацию муниципальных программ, направленных на создание мест (площадок) накопления твердых коммунальных отходов,  а также на приобретение, размещение контейнеров, бункеров на территории муниципальных районов, городских округов и городских поселений в рамках подпрограммы «Обращение с отходами на территории Липецкой области»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 </t>
  </si>
  <si>
    <t>Целевая  статья  99 9 00 54690</t>
  </si>
  <si>
    <t>06 1 14 86330</t>
  </si>
  <si>
    <t>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городских округов и поселений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t>
  </si>
  <si>
    <t>Предоставление субсидий местным бюджетам на реализацию муниципальных программ, направленных на повышение квалификации педагогических работников муниципальных образовательных организаций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</si>
  <si>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21 1 02 R5762</t>
  </si>
  <si>
    <t>21 2 01 R5763</t>
  </si>
  <si>
    <t xml:space="preserve">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благоустройство сельских территорий) в рамках подпрограммы "Создание и развитие инфраструктуры на сельских территориях" государственной программы Липецкой области "Комплексное развитие сельских территорий Липецкой области" </t>
  </si>
  <si>
    <t>21 2 05 R5766</t>
  </si>
  <si>
    <t xml:space="preserve">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 в рамках подпрограммы "Создание и развитие инфраструктуры на сельских территориях" государственной программы Липецкой области "Комплексное развитие сельских территорий Липецкой области" </t>
  </si>
  <si>
    <t>Целевая  статья  21 1 02 R5762</t>
  </si>
  <si>
    <t>предоставление субсидий местным бюджетам на реализацию муниципальных программ, направленных на строительство жилого помещения (жилого дома), предоставляемого гражданам, проживающим на сельских территориях, по договору найма жилого помещения</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</si>
  <si>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00 0000 150)</t>
  </si>
  <si>
    <t>Целевая  статья  21 2 01 R5763</t>
  </si>
  <si>
    <t>предоставление субсидий местным бюджетам на реализацию муниципальных программ, направленных на благоустройство сельских территорий</t>
  </si>
  <si>
    <t>Субсидии бюджетам на обеспечение комплексного развития сельских территорий  (000 2 02 25576 00 0000 150)</t>
  </si>
  <si>
    <t>Целевая  статья  21 2 05 R5766</t>
  </si>
  <si>
    <t>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t>
  </si>
  <si>
    <t>Дотации  бюджетам  городских  округов  на  выравнивание  бюджетной  обеспеченности из бюджета субъекта Российской Федерации  (000 2 02 15001 04 0000 150)</t>
  </si>
  <si>
    <t xml:space="preserve">Дотации  бюджетам  муниципальных  районов  на  выравнивание  бюджетной  обеспеченности из бюджета субъекта Российской Федерации  (000 2 02 15001 05 0000 150)  </t>
  </si>
  <si>
    <t>Дотации  бюджетам  сельских  поселений  на  выравнивание  бюджетной  обеспеченности   из бюджета субъекта Российской Федерации  (000 2 02 15001 10 0000 150)</t>
  </si>
  <si>
    <t>Дотации  бюджетам  городских  поселений  на  выравнивание  бюджетной  обеспеченности  из бюджета субъекта Российской Федерации  (000 2 02 15001 13 0000 150)</t>
  </si>
  <si>
    <t>Дотации (гранты) бюджетам за достижение показателей деятельности органов местного самоуправления  (000 2 02 16549 00 0000 150)</t>
  </si>
  <si>
    <t>Дотации (гранты) бюджетам городских округов за достижение показателей деятельности органов местного самоуправления  (000 2 02 16549 04 0000 150)</t>
  </si>
  <si>
    <t>Дотации (гранты) бюджетам муниципальных районов за достижение показателей деятельности органов местного самоуправления  (000 2 02 16549 05 0000 150)</t>
  </si>
  <si>
    <t xml:space="preserve">Дотации (гранты) бюджетам поселений за достижение показателей деятельности органов местного самоуправления </t>
  </si>
  <si>
    <t>Дотации (гранты) бюджетам городских поселений за достижение показателей деятельности органов местного самоуправления  (000 2 02 16549 13 0000 150)</t>
  </si>
  <si>
    <t>Дотации (гранты) бюджетам сельских поселений за достижение показателей деятельности органов местного самоуправления  (000 2 02 16549 10 0000 150)</t>
  </si>
  <si>
    <t>21 2 01 R5763 - фед</t>
  </si>
  <si>
    <t>Субсидии бюджетам городских поселений на обеспечение комплексного развития сельских территорий  (000 2 02 25576 13 0000 150)</t>
  </si>
  <si>
    <t>Субсидии бюджетам сельских поселений на обеспечение комплексного развития сельских территорий  (000 2 02 25576 10 0000 150)</t>
  </si>
  <si>
    <t xml:space="preserve">Субсидии бюджетам поселений на обеспечение комплексного развития сельских территорий  </t>
  </si>
  <si>
    <t>21 1 02 R5762 - фед</t>
  </si>
  <si>
    <t>21 2 05 R5766 - фед</t>
  </si>
  <si>
    <t>Субсидии бюджетам городских поселений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13 0000 150)</t>
  </si>
  <si>
    <t>Субсидии бюджетам сельских  поселений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10 0000 150)</t>
  </si>
  <si>
    <t xml:space="preserve">Субсидии бюджетам  поселений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t>
  </si>
  <si>
    <t>Создание в общеобразовательных организациях, расположенных в сельской местности и малых городах, условий для занятий физической культурой и спортом в рамках регионального проекта "Успех каждого ребенка"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</si>
  <si>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Прочие межбюджетные трансферты, передаваемые бюджетам  (000 2 02 49999 00 0000 150)</t>
  </si>
  <si>
    <t>4.  Осуществление переданных органам государственной власти субъектов Российской Федерации в соответствии с пунктом 1 статьи 4 Федерального закона "Об актах гражданского состояния" полномочий Российской Федерации по государственной регистрации актов гражданского состояния по непрограммному направлению расходов "Обеспечение деятельности в сфере государственной регистрации актов гражданского состояния" в рамках непрограммных расходов областного бюджета  (ЦС  99 4 00 59300)</t>
  </si>
  <si>
    <t xml:space="preserve">Субсидии бюджетам на реализацию программ формирования современной городской среды   ( 000 2 02 25555 00 0000 150 )  </t>
  </si>
  <si>
    <t>Субсидии бюджетам на реализацию программ формирования современной городской среды  ( 000 2 02 25555 00 0000 150 )</t>
  </si>
  <si>
    <t>Субсидии бюджетам поселений на реализацию программ формирования современной городской среды</t>
  </si>
  <si>
    <t>Субсидии бюджетам сельских поселений на реализацию программ формирования современной городской среды   ( 000 2 02 25555 10 0000 150 )</t>
  </si>
  <si>
    <t>Субсидии бюджетам городских поселений на реализацию программ формирования современной городской среды   ( 000 2 02 25555 13 0000 150 )</t>
  </si>
  <si>
    <t>Субсидии бюджетам городских округов на реализацию программ формирования современной городской среды   ( 000 2 02 25555 04 0000 150 )</t>
  </si>
  <si>
    <t>Субсидии бюджетам муниципальных районов на реализацию программ формирования современной городской среды   ( 000 2 02 25555 05 0000 150 )</t>
  </si>
  <si>
    <t>Субсидии бюджетам на государственную поддержку малого и среднего предпринимательства в субъектах Российской Федерации  (000 2 02 25527 00 0000 150)</t>
  </si>
  <si>
    <t>Субсидии бюджетам на государственную поддержку малого и среднего предпринимательства в субъектах Российской Федерации   (000 2 02 25527 00 0000 150)</t>
  </si>
  <si>
    <t>Субсидии бюджетам поселений на государственную поддержку малого и среднего предпринимательства в субъектах Российской Федерации</t>
  </si>
  <si>
    <t>Субсидии бюджетам сельских поселений на государственную поддержку малого и среднего предпринимательства в субъектах Российской Федерации    ( 000 2 02 25527 10 0000 150)</t>
  </si>
  <si>
    <t>Субсидии бюджетам городских поселений на государственную поддержку малого и среднего предпринимательства в субъектах Российской Федерации   ( 000 2 02 25527 13 0000 150 )</t>
  </si>
  <si>
    <t>Субсидии бюджетам городских округов на государственную поддержку малого и среднего предпринимательства в субъектах Российской Федерации  (000 2 02 25527 04 0000 150)</t>
  </si>
  <si>
    <t>Субсидии бюджетам муниципальных районов на государственную поддержку малого и среднего предпринимательства в субъектах Российской Федерации  (000 2 02 25527 05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</si>
  <si>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   (000 2 02 25467 00 0000 150)</t>
  </si>
  <si>
    <t xml:space="preserve">Субсидии бюджетам поселений на обеспечение развития и укрепления материально-технической базы домов культуры в населенных пунктах с числом жителей до 50 тысяч человек  </t>
  </si>
  <si>
    <t>Субсидии бюджетам сельских поселений на обеспечение развития и укрепления материально-технической базы домов культуры в населенных пунктах с числом жителей до 50 тысяч человек   ( 000 2 02 25467 10 0000 150 )</t>
  </si>
  <si>
    <t>Субсидии бюджетам городских поселений на обеспечение развития и укрепления материально-технической базы домов культуры в населенных пунктах с числом жителей до 50 тысяч человек      ( 000 2 02 25467 13 0000 150 )</t>
  </si>
  <si>
    <t>Субсидии бюджетам городских округов на обеспечение развития и укрепления материально-технической базы домов культуры в населенных пунктах с числом жителей до 50 тысяч человек    ( 000 2 02 25467 04 0000 150 )</t>
  </si>
  <si>
    <t>Субсидии бюджетам муниципальных районов на обеспечение развития и укрепления материально-технической базы домов культуры в населенных пунктах с числом жителей до 50 тысяч человек      ( 000 2 02 25467 05 0000 150 )</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</si>
  <si>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   ( 000 2 02 25467 00 0000 150 )</t>
  </si>
  <si>
    <t>Субсидии бюджетм городских округов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(000 2 02 25232 04 0000 150)</t>
  </si>
  <si>
    <t>Субсидии бюджетм муниципальнх районов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(000 2 02 25232 05 0000 150)</t>
  </si>
  <si>
    <t>Субсидии бюджетам городских округов на создание новых мест в общеобразовательных организациях, расположенных в сельской местности и поселках городского типа  (000 2 02 25230 04 0000 150)</t>
  </si>
  <si>
    <t>Субсидии бюджетам муниципальных районов на создание новых мест в общеобразовательных организациях, расположенных в сельской местности и поселках городского типа  (000 2 02 25230 05 0000 150)</t>
  </si>
  <si>
    <t>Субсидии бюджетам городских округов на создание в общеобразовательных организациях, расположенных в сельской местности, условий для занятий физической культурой и спортом  (000 2 02 25097 04 0000 150)</t>
  </si>
  <si>
    <t>Субсидии бюджетам муниципальных районов на создание в общеобразовательных организациях, расположенных в сельской местности, условий для занятий физической культурой и спортом  (000 2 02 25097 05 0000 150)</t>
  </si>
  <si>
    <t>Субсидии бюджетам на реализацию мероприятий государственной программы Российской Федерации "Доступная среда"   (000 2 02 25027 00 0000 150)</t>
  </si>
  <si>
    <t>Субсидии бюджетам на реализацию мероприятий государственной программы Российской Федерации "Доступная среда"  (000 2 02 25027 00 0000 150)</t>
  </si>
  <si>
    <t>Субсидии бюджетам городских округов на реализацию мероприятий государственной программы Российской Федерации "Доступная среда"  (000 2 02 25027 04 0000 150)</t>
  </si>
  <si>
    <t>Субсидии бюджетам муниципальных районов на реализацию мероприятий государственной программы Российской Федерации "Доступная среда"  (000 2 02 25027 05 0000 150)</t>
  </si>
  <si>
    <t>Субсидии бюджетам бюджетной системы Российской Федерации (межбюджетные субсидии)  (000 2 02 20000 00 0000 150)</t>
  </si>
  <si>
    <t>Субвенции бюджетам бюджетной системы Российской Федерации</t>
  </si>
  <si>
    <t>Субвенции бюджетам бюджетной системы Российской Федерации,  всего</t>
  </si>
  <si>
    <t xml:space="preserve">Субсидии бюджетам бюджетной системы Российской Федерации (межбюджетные субсидии) </t>
  </si>
  <si>
    <t>Субсидии бюджетам бюджетной системы Российской Федерации (межбюджетные субсидии),  всего</t>
  </si>
  <si>
    <t>Субвенции бюджетам бюджетной системы Российской Федерации  ( 000 2 02 30000 00 000 150 )</t>
  </si>
  <si>
    <t>Субсидии бюджетам бюджетной системы Российской Федерации (межбюджетные субсидии)  ( 000 2 02 20000 00 0000 150 )</t>
  </si>
  <si>
    <t>Дотации бюджетам бюджетной системы Российской Федерации  (000 2 02 10000 00 0000 150)</t>
  </si>
  <si>
    <t>Дотации бюджетам бюджетной системы Российской Федерации</t>
  </si>
  <si>
    <t>Дотации бюджетам бюджетной системы Российской Федерации,  всего</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</si>
  <si>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развитие газификации на сельских территориях) в рамках подпрограммы «Создание и развитие инфраструктуры на сельских территориях» государственной программы Липецкой области "Комплексное развитие сельских территорий Липецкой области"</t>
  </si>
  <si>
    <t>21 2 02 86780</t>
  </si>
  <si>
    <t>Предоставление субсидий местным бюджетам на реализацию муниципальных программ, направленных на развитие газификации на сельских территориях в рамках подпрограммы «Создание и развитие инфраструктуры на сельских территориях» государственной программы Липецкой области "Комплексное развитие сельских территорий Липецкой области"</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</si>
  <si>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05 0000 150)</t>
  </si>
  <si>
    <t>Субсидии бюджетам городских округов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04 0000 150)</t>
  </si>
  <si>
    <t>Целевые  статьи  06 1 13 86680,  08 5 03 86010  в  части  бюджетных  инвестиций (ВР 522),  08 6 09 86390,  21 2 02 86780</t>
  </si>
  <si>
    <t xml:space="preserve">14 1 R1 Д3934 </t>
  </si>
  <si>
    <t xml:space="preserve">Целевые  статьи  14 1 04 86030,  14 1 05 86070,  14 1 R1 Д3934 </t>
  </si>
  <si>
    <t>Финансовое обеспечение дорожной деятельности в рамках реализации национального проекта «Безопасные и качественные автомобильные дороги» в целях достижения значений дополнительного результата (предоставление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рамках регионального проекта «Дорожная сеть» (на сети автомобильных дорог Липецкой агломерации))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t>
  </si>
  <si>
    <t>08 6 F3 67484</t>
  </si>
  <si>
    <t>Предоставление субсидий местным бюджетам на реализацию муниципальных программ, направленных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в рамках регионального проекта "Обеспечение устойчивого сокращения непригодного для проживания жилищного фонда" подпрограммы «Улучшение качества жилищного фонда,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</si>
  <si>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 xml:space="preserve">20 1 F2 Д5551 </t>
  </si>
  <si>
    <t>Реализация мероприятий, направленных на формирование современной городской среды в целях достижения дополнительного результата федерального проекта (предоставление субсидий местным бюджетам на реализацию муниципальных программ, направленных на организацию благоустройства территорий поселений и городских округов) в рамках регионального проекта "Формирование комфортной городской среды" подпрограммы "Развитие благоустройства территорий муниципальных образований Липецкой области" государственной программы Липецкой области "Формирование современной городской среды в Липецкой области"</t>
  </si>
  <si>
    <t xml:space="preserve">Целевые  статьи  20 1 F2 55550,  20 1 F2 Д5551 </t>
  </si>
  <si>
    <t>Предоставление субсидий местным бюджетам на реализацию муниципальных программ, направленных на реализацию проектов благоустройства территорий поселений и городских округов, отобранных на конкурсной основе, предложенных территориальным общественным самоуправлением в рамках подпрограммы "Развитие благоустройства территорий муниципальных образований Липецкой области" государственной программы Липецкой области "Формирование современной городской среды в Липецкой области"</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</si>
  <si>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жилья на сельских территориях, предоставляемого гражданам по договору найма жилого помещения в рамках подпрограммы "Создание и развитие инфраструктуры на сельских территориях" государственной программы Липецкой области "Комплексное развитие сельских территорий Липецкой области"</t>
  </si>
  <si>
    <t>21 2 02 R5764</t>
  </si>
  <si>
    <t>21 2 02 R5764 - фед</t>
  </si>
  <si>
    <t>Целевая  статья  21 2 02 R5764</t>
  </si>
  <si>
    <t>СВЕДЕНИЯ  О  СУБСИДИИ  В  2020  ГОДУ</t>
  </si>
  <si>
    <t>Субсидии бюджетам поселений на введение в промышленную эксплуатацию мощностей по обработке твердых коммунальных отходов и мощностей по утилизации отходов и фракций после обработки твердых коммунальных отходов</t>
  </si>
  <si>
    <t xml:space="preserve">Субсидии бюджетам поселений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t>
  </si>
  <si>
    <t>Субсидии бюджетам городских округов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04 0000 150)</t>
  </si>
  <si>
    <t>Субсидии бюджетам муниципальных районов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05 0000 150)</t>
  </si>
  <si>
    <t>Субсидии бюджетам сельских поселений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10 0000 150)</t>
  </si>
  <si>
    <t>Субсидии бюджетам городских поселений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13 0000 150)</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</si>
  <si>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00 0000 150)</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</si>
  <si>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00 0000 150)</t>
  </si>
  <si>
    <t xml:space="preserve">областные  средства </t>
  </si>
  <si>
    <t>Реализация мероприятий федеральной целевой программы «Увековечение памяти погибших при защите Отечества на 2019-2024 годы» (предоставление субсидий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Великой Отечественной войны 1941 - 1945 годов) в рамках подпрограммы "Содействие развитию гражданского общества, патриотического воспитания населения Липецкой области и реализация молодежной политики" государственной программы Липецкой области "Реализация внутренней политики Липецкой области"</t>
  </si>
  <si>
    <t>Предоставление субсидий местным бюджетам на реализацию муниципальных программ, направленных на создание новых мест в общеобразовательных организациях без условий софинансирования с федеральным бюджетом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</si>
  <si>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05 5 01 R5200</t>
  </si>
  <si>
    <t xml:space="preserve">Целевая  статья  05 5 01 R5200 </t>
  </si>
  <si>
    <t>Создание новых мест в общеобразовательных организациях</t>
  </si>
  <si>
    <t xml:space="preserve">Предоставление субсидий местным бюджетам на реализацию муниципальных программ, направленных на создание новых мест в общеобразовательных организациях </t>
  </si>
  <si>
    <t>05 5 01 R5200 - фед</t>
  </si>
  <si>
    <t>08 6 F3 67483</t>
  </si>
  <si>
    <t>Целевая  статья  08 6 F3 67483</t>
  </si>
  <si>
    <t>Целевая  статья  08 6 F3 67484</t>
  </si>
  <si>
    <t>Финансовое обеспечение дорожной деятельности в рамках реализации мероприятий приоритетного проекта "Безопасные и качественные дороги" государственной программы Российской Федерации "Развитие транспортной системы" в рамках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t>
  </si>
  <si>
    <t>14 1 01 53900</t>
  </si>
  <si>
    <t>финансовое обеспечение дорожной деятельности в рамках реализации мероприятий приоритетного проекта "Безопасные и качественные дороги" государственной программы Российской Федерации "Развитие транспортной системы"</t>
  </si>
  <si>
    <t xml:space="preserve">Целевая  статья  14 1 01 53900 </t>
  </si>
  <si>
    <t>Межбюджетные трансферты, передаваемые бюджетам  на  финансовое  обеспечение  дорожной  деятельности  (000 2 02 45390 00 0000 150)</t>
  </si>
  <si>
    <t>Межбюджетные трансферты, передаваемые бюджетам  городских  округов  на  финансовое  обеспечение  дорожной  деятельности  (000 2 02 45390 04 0000 150)</t>
  </si>
  <si>
    <t xml:space="preserve">Межбюджетные трансферты, передаваемые бюджетам  поселений на  финансовое  обеспечение  дорожной  деятельности </t>
  </si>
  <si>
    <t>Межбюджетные трансферты, передаваемые бюджетам  муниципальных  районов  на  финансовое  обеспечение  дорожной  деятельности  (000 2 02 45390 05 0000 150)</t>
  </si>
  <si>
    <t>Межбюджетные трансферты, передаваемые бюджетам  сельских поселений на  финансовое  обеспечение  дорожной  деятельности  (000 2 02 45390 10 0000 150)</t>
  </si>
  <si>
    <t>Межбюджетные трансферты, передаваемые бюджетам  городских  поселений  на  финансовое  обеспечение  дорожной  деятельности  (000 2 02 45390 13 0000 150)</t>
  </si>
  <si>
    <t>Целевая  статья  14 1 01 53900</t>
  </si>
  <si>
    <t>14 1 R2 54180</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</si>
  <si>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в рамках регионального проекта "Общесистемные меры развития дорожного хозяйства"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t>
  </si>
  <si>
    <t>Целевая  статья  14 1 R2 54180</t>
  </si>
  <si>
    <t>Межбюджетные трансферты, передаваемые бюджетам на внедрение автоматизированных и роботизированных технологий организации дорожного движения и контроля за соблюдением правил дорожного движения  (000 2 02 45418 00 0000 150)</t>
  </si>
  <si>
    <t>Межбюджетные трансферты, передаваемые бюджетам на внедрение автоматизированных и роботизированных технологий организации дорожного движения и контроля за соблюдением правил дорожного движения   (000 2 02 45418 00 0000 150)</t>
  </si>
  <si>
    <t xml:space="preserve">Межбюджетные трансферты, передаваемые бюджетам на внедрение автоматизированных и роботизированных технологий организации дорожного движения и контроля за соблюдением правил дорожного движения </t>
  </si>
  <si>
    <t xml:space="preserve">Межбюджетные трансферты, передаваемые бюджетам поселений на внедрение автоматизированных и роботизированных технологий организации дорожного движения и контроля за соблюдением правил дорожного движения   </t>
  </si>
  <si>
    <t>Межбюджетные трансферты, передаваемые бюджетам сельских поселений на внедрение автоматизированных и роботизированных технологий организации дорожного движения и контроля за соблюдением правил дорожного движения   (000 2 02 45418 10 0000 150)</t>
  </si>
  <si>
    <t>Межбюджетные трансферты, передаваемые бюджетам городских поселений на внедрение автоматизированных и роботизированных технологий организации дорожного движения и контроля за соблюдением правил дорожного движения   (000 2 02 45418 13 0000 150)</t>
  </si>
  <si>
    <t>Межбюджетные трансферты, передаваемые бюджетам городских округов на внедрение автоматизированных и роботизированных технологий организации дорожного движения и контроля за соблюдением правил дорожного движения   (000 2 02 45418 04 0000 150)</t>
  </si>
  <si>
    <t>Межбюджетные трансферты, передаваемые бюджетам муниципальных районов на внедрение автоматизированных и роботизированных технологий организации дорожного движения и контроля за соблюдением правил дорожного движения   (000 2 02 45418 05 0000 150)</t>
  </si>
  <si>
    <t>Предоставление субсидий местным бюджетам на реализацию муниципальных программ, направленных на подготовку и внесение изменений в генеральные планы, правила землепользования и застройки городских и сельских поселений и документацию по планировке территорий городских округов, городских и сельских поселений Липецкой области в рамках регионального проекта "Жилье" подпрограммы "Стимулирование жилищного строительства в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</si>
  <si>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08 4 F1 86020</t>
  </si>
  <si>
    <t>Дотации местным бюджетам на поддержку мер по обеспечению сбалансированности бюджетов в рамках подпрограммы "Создание условий для повышения финансовой устойчивости местных бюджетов" государственной программы Липецкой области "Управление государственными финансами и государственным долгом Липецкой области"</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</si>
  <si>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сельских поселений Липецкой области  в рамках подпрограммы "Создание условий для повышения финансовой устойчивости местных бюджетов" государственной программы Липецкой области  "Управление государственными финансами и государственным долгом Липецкой области"</t>
  </si>
  <si>
    <t>Иные дотации местным бюджетам в целях поощрения достижения наилучших значений показателей качества управления финансами и платежеспособности городских округов и муниципальных районов Липецкой области  в рамках подпрограммы "Создание условий для повышения финансовой устойчивости местных бюджетов" государственной программы Липецкой области  "Управление государственными финансами и государственным долгом Липецкой области"</t>
  </si>
  <si>
    <t>Иные дотации местным бюджетам в целях поощрения достижения наилучших значений показателей увеличения налогового потенциала городских округов и муниципальных районов Липецкой области  в рамках подпрограммы "Создание условий для повышения финансовой устойчивости местных бюджетов" государственной программы Липецкой области  "Управление государственными финансами и государственным долгом Липецкой области"</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</si>
  <si>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городских поселений Липецкой области  в рамках подпрограммы "Создание условий для повышения финансовой устойчивости местных бюджетов" государственной программы Липецкой области  "Управление государственными финансами и государственным долгом Липецкой области"</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</si>
  <si>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городских округов и муниципальных районов Липецкой области  в рамках подпрограммы "Создание условий для повышения финансовой устойчивости местных бюджетов" государственной программы Липецкой области  "Управление государственными финансами и государственным долгом Липецкой области"</t>
  </si>
  <si>
    <t xml:space="preserve"> 10 1 13 86480 </t>
  </si>
  <si>
    <t xml:space="preserve">Предоставление субсидий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Великой Отечественной войны 1941 - 1945 годов  в рамках подпрограммы "Содействие развитию гражданского общества, патриотического воспитания населения Липецкой области и реализация молодежной политики" государственной программы Липецкой области "Реализация внутренней политики Липецкой области" </t>
  </si>
  <si>
    <t>Целевые  статьи   06 1 14 86330,  06 1 A2 86280,  08 4 F1 86020,  08 5 03 86010,   10 1 13 86480,  10 3 05 86630,  12 1 29 86080,  14 1 08 86300,  14 2 02 86100,  14 2 06 86090,  16 2 02 86210,  16 2 09 86380,  18 2 05 86790,  20 1 06 86420</t>
  </si>
  <si>
    <t>Целевые  статьи  04 1 41 86440, 04 2 Р5 86820,  05 1 06 86560,  05 1 12 86590,  05 1 26 86160,  06 1 06 R5194,  06 1 14 86330,  06 1 A2 86280,  07 1 06 86860,   08 4 F1 86020,  08 5 03 86010,  10 1 03 86670,   10 1 13 86480,  10 3 05 86630,  12 1 29 86080,  12 2 04 86180,  13 6 01 86050,  13 8 01 86060,  14 1 08 86300,  14 2 02 86100,  14 2 06 86090,  14 2 07 86170,  14 2 08 86190,  14 2 09 86260,  16 2 02 86210,  16 2 09 86380,  18 2 05 86790,  20 1 06 86420</t>
  </si>
  <si>
    <t>Реализация мероприятий федеральной целевой программы «Увековечение памяти погибших при защите Отечества на 2019 - 2024 годы» за счет средств резервного фонда Правительства Российской Федерации в рамках подпрограммы "Содействие развитию гражданского общества, патриотического воспитания населения Липецкой области и реализация молодежной политики" государственной программы Липецкой области "Реализация внутренней политики Липецкой области"</t>
  </si>
  <si>
    <t>10 1 10 R299F</t>
  </si>
  <si>
    <t>Целевая  статья  10 1 10 R299F</t>
  </si>
  <si>
    <t xml:space="preserve">Реализация мероприятий федеральной целевой программы «Увековечение памяти погибших при защите Отечества на 2019 - 2024 годы» за счет средств резервного фонда Правительства Российской Федерации </t>
  </si>
  <si>
    <t>Реализация мероприятий федеральной целевой программы «Увековечение памяти погибших при защите Отечества на 2019-2024 годы» (предоставление субсидий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Великой Отечественной войны 1941 - 1945 годов)</t>
  </si>
  <si>
    <t>10 1 10 R299F - обл</t>
  </si>
  <si>
    <t>10 1 10 R299F - фед</t>
  </si>
  <si>
    <t>без  фонда  реформирования  ЖКХ</t>
  </si>
  <si>
    <t>фонд  реформирования  ЖКХ</t>
  </si>
  <si>
    <t>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   (000 2 02 25242 00 0000 150)</t>
  </si>
  <si>
    <t xml:space="preserve">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  </t>
  </si>
  <si>
    <t>Субсидии бюджетам сельских поселений на ликвидацию несанкционированных свалок в границах городов и наиболее опасных объектов накопленного экологического вреда окружающей среде   (000 2 02 25242 10 0000 150)</t>
  </si>
  <si>
    <t>Субсидии бюджетам городских округов на ликвидацию несанкционированных свалок в границах городов и наиболее опасных объектов накопленного экологического вреда окружающей среде   (000 2 02 25242 04 0000 150)</t>
  </si>
  <si>
    <t>Субсидии бюджетам муниципальных районов на ликвидацию несанкционированных свалок в границах городов и наиболее опасных объектов накопленного экологического вреда окружающей среде   (000 2 02 25242 05 0000 150)</t>
  </si>
  <si>
    <t>Субсидии бюджетам городских поселений на ликвидацию несанкционированных свалок в границах городов и наиболее опасных объектов накопленного экологического вреда окружающей среде   (000 2 02 25242 13 0000 150)</t>
  </si>
  <si>
    <t>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  (000 2 02 25255 00 0000 150)</t>
  </si>
  <si>
    <t>Субсидии бюджетам городских округов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  (000 2 02 25255 04 0000 150)</t>
  </si>
  <si>
    <t>Субсидии бюджетам муниципальных районов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  (000 2 02 25255 05 0000 150)</t>
  </si>
  <si>
    <t>Целевая  статья  05 1 29 R2550</t>
  </si>
  <si>
    <t>05 1 29 R2550 - обл</t>
  </si>
  <si>
    <t>05 1 29 R2550 - фед</t>
  </si>
  <si>
    <t>05 1 29 R2550</t>
  </si>
  <si>
    <t>Предоставление субсидий местным бюджетам на реализацию муниципальных программ, направленных на благоустройство зданий муниципальных общеобразовательных организаций в целях соблюдения требований к воздушно-тепловому режиму, водоснабжению и канализации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</si>
  <si>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05 5 E1 Д5200</t>
  </si>
  <si>
    <t>Предоставление субсидий местным бюджетам на реализацию муниципальных программ, направленных на создание новых мест в общеобразовательных организациях в целях достижения значений дополнительного результата федерального проекта в рамках регионального проекта "Современная школа"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</si>
  <si>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Целевые  статьи  05 5 E1 55200, 05 5 E1 Д5200,  05 5 01 R5200</t>
  </si>
  <si>
    <t>Справка по исп. лимитов по ЦС и ВР (райгруппа)</t>
  </si>
  <si>
    <t>Сведения о бюджетных субсидиях (областные/федеральные)</t>
  </si>
  <si>
    <t>Целевые  статьи  06 1 A1 55196,  06 1 15 R5192</t>
  </si>
  <si>
    <t>СУБСИДИЯ  ПО  ВИДУ  РАСХОДА  522</t>
  </si>
  <si>
    <t>руб.</t>
  </si>
  <si>
    <t>МЕНЯТЬ</t>
  </si>
  <si>
    <t>УТОЧНЕННЫЙ  ПЛАН  И  ИСПОЛНЕНИЕ  ПО  ФЕДЕРАЛЬНОЙ  СУБСИДИИ</t>
  </si>
  <si>
    <t>Субсидии  бюджетам  субъектов  Российской  Федерации  и  муниципальных  образований  (межбюджетные  субсидии) ( 000 2 02 20000 00 0000 150 )</t>
  </si>
  <si>
    <t>МР  и  ГО</t>
  </si>
  <si>
    <t>Субсидии бюджетам на реализацию мероприятий государственной программы Российской Федерации "Доступная среда" на 2011 - 2020 годы   (000 2 02 25027 00 0000 150)</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</si>
  <si>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  (2 02 25097 00 0000 150)</t>
  </si>
  <si>
    <t>Субсидии бюджетм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(2 02 25232 00 0000 150)</t>
  </si>
  <si>
    <t>Субсидии бюджетам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(000 2 02 25527 00 0000 150)</t>
  </si>
  <si>
    <t xml:space="preserve">Целевая  статья  01 6 04 R0272 </t>
  </si>
  <si>
    <t xml:space="preserve">Целевая  статья  01 6 05 R0273 </t>
  </si>
  <si>
    <t xml:space="preserve">Целевая  статья  05 1 Е2 50970 </t>
  </si>
  <si>
    <t>Целевая  статья  04 1 Р5 52282</t>
  </si>
  <si>
    <t xml:space="preserve">Целевая  статья  06 1 63 R4660 </t>
  </si>
  <si>
    <t xml:space="preserve">Целевая  статья  06 1 62 R4670 </t>
  </si>
  <si>
    <t>Целевая  статья  06 1 15 R5192</t>
  </si>
  <si>
    <t xml:space="preserve">Целевая  статья  05 5 E1 55200 </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</si>
  <si>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    (000 2 02 20299 00 0000 150)поступивших от государственной корпорации - Фонда содействия реформированию жилищно-коммунального хозяйства    (000 2 02 20299 00 0000 150)</t>
  </si>
  <si>
    <t>08 6 13 09503</t>
  </si>
  <si>
    <t>Предоставление субсидий местным бюджетам на реализацию муниципальных программ, направленных на возмещение части расходов на оплату услуг и (или) работ по энергосбережению и повышению энергетической эффективности, выполненных в ходе оказания и (или) выполнения услуг и (или) работ по капитальному ремонту общего имущества в многоквартирном доме за счет средств Фонда содействия реформированию жилищно-коммунального хозяйства в рамках подпрограммы «Улучшение качества жилищного фонда,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</si>
  <si>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Целевая  статья  08 6 13 09503</t>
  </si>
  <si>
    <t>Субсидии бюджетам муниципальных образований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жилищно-коммунального хозяйства    (000 2 02 20298 00 0000 150)</t>
  </si>
  <si>
    <t>Субсидии бюджетам муниципальных образований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жилищно-коммунального хозяйства (000 2 02 20298 00 0000 150)</t>
  </si>
  <si>
    <t>Субсидии бюджетам городских округов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жилищно-коммунального хозяйства (000 2 02 20298 04 0000 150)</t>
  </si>
  <si>
    <t>Субсидии бюджетам муниципальных районов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жилищно-коммунального хозяйства (000 2 02 20298 05 0000 150)</t>
  </si>
  <si>
    <t xml:space="preserve">  08 6 13 09503</t>
  </si>
  <si>
    <t>20 1 F2 54240</t>
  </si>
  <si>
    <t>21 1 F2 54240</t>
  </si>
  <si>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в рамках регионального проекта "Формирование комфортной городской среды" подпрограммы "Развитие благоустройства территорий муниципальных образований Липецкой области" государственной программы Липецкой области "Формирование современной городской среды в Липецкой области"</t>
  </si>
  <si>
    <t>Целевая  статья  20 1 F2 54240</t>
  </si>
  <si>
    <t>Межбюджетные трансферты, передаваемые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45424 00 0000 150)</t>
  </si>
  <si>
    <t xml:space="preserve">Межбюджетные трансферты, передаваемые бюджетам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t>
  </si>
  <si>
    <t>Межбюджетные трансферты, передаваемые бюджетам сельских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45424 10 0000 150)</t>
  </si>
  <si>
    <t>Межбюджетные трансферты, передаваемые бюджетам городских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45424 13 0000 150)</t>
  </si>
  <si>
    <t xml:space="preserve">Предоставление субсидий местным бюджетам на реализацию мероприятий муниципальных программ, направленных на организацию бесплатного горячего питания обучающихся, получающих начальное общее образование в муниципальных образовательных организациях в рамках подпрограммы "Улучшение демографической ситуации и положения семей с детьми" государственной программы Липецкой области "Социальная поддержка граждан, реализация семейно-демографической политики Липецкой области" </t>
  </si>
  <si>
    <t>01 4 22 R3040</t>
  </si>
  <si>
    <t>1. Предоставление субсидий местным бюджетам на реализацию мероприятий муниципальных программ, направленных на организацию бесплатного горячего питания обучающихся, получающих начальное общее образование в муниципальных образовательных организациях в рамках подпрограммы "Улучшение демографической ситуации и положения семей с детьми" государственной программы Липецкой области "Социальная поддержка граждан, реализация семейно-демографической политики Липецкой области"   (ЦС  01 4 22 R3040)</t>
  </si>
  <si>
    <t>2. Реализация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на условиях софинансирования с федеральным бюджетом (предоставление cубсидий бюджетам муниципальных образований на реализацию муниципальных программ, содержащих мероприятия по созданию в общеобразовательных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и оснащение общеобразовательных организаций специальным, в том числе учебным, реабилитационным, компьютерным оборудованием и автотранспортом) в рамках подпрограммы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  (ЦС  01 6 04 R0272)</t>
  </si>
  <si>
    <t>3. Реализация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на условиях софинансирования с федеральным бюджетом (предоставление субсидий местным бюджетам на реализацию муниципальных программ, содержащих мероприятия по созданию условий для инклюзивного образования детей-инвалидов в дошкольных образовательных организациях)  в рамках подпрограммы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  (ЦС  01 6 05 R0273)</t>
  </si>
  <si>
    <t>4. Реализация мероприятий, направленных на создание и модернизацию объектов спортивной инфраструктуры региональной собственности (муниципальной собственности) для занятий физической культурой и спортом (субсидии бюджетам муниципальных районов и городских округов на реализацию муниципальных программ, направленных на строительство и реконструкцию спортивной инфраструктуры (на строительство и реконструкцию иных физкультурно-оздоровительных комплексов и центров для массового спорта) в рамках регионального проекта "Спорт-норма жизни" подпрограммы "Развитие физической культуры и массового спорта" государственной программы Липецкой области "Развитие физической культуры и спорта Липецкой области"  (ЦС  04 1 Р5 51391)</t>
  </si>
  <si>
    <t>5. Реализация мероприятий, направленных на оснащение объектов спортивной инфраструктуры спортивно-технологическим оборудованием (субсидии бюджетам муниципальных районов и городских округов на реализацию муниципальных программ, направленных на создание малых спортивных площадок, монтируемых на открытых площадках или в закрытых помещениях, на которых возможно проводить тестирование населения в соответствии со Всероссийским физкультурно-спортивным комплексом «Готов к труду и обороне» (ГТО)) в рамках регионального проекта "Спорт-норма жизни" подпрограммы "Развитие физической культуры и массового спорта" государственной программы Липецкой области "Развитие физической культуры и спорта Липецкой области"  (ЦС  04 1 Р5 52281)</t>
  </si>
  <si>
    <t>6.  Реализация мероприятий, направленных на оснащение объектов спортивной инфраструктуры спортивно-технологическим оборудованием (субсидии бюджетам муниципальных районов и городских округов на реализацию муниципальных программ, направленных на создание или модернизация футбольных полей с искусственным покрытием) в рамках регионального проекта "Спорт-норма жизни" подпрограммы "Развитие спорта высших достижений и системы подготовки спортивного резерва Липецкой области" государственной программы Липецкой области "Развитие физической культуры и спорта Липецкой области" (ЦС  04 1 Р5 52282)</t>
  </si>
  <si>
    <t>7.  Реализация федеральной целевой программы «Развитие физической культуры и спорта в Российской Федерации на 2016 - 2020 годы" (предоставление субсидий бюджетам муниципальных районов и городских округов на реализацию муниципальных программ, направленных на строительство спортивных объектов шаговой доступности) в рамках регионального проекта "Спорт-норма жизни" подпрограммы "Развитие физической культуры и массового спорта" государственной программы Липецкой области "Развитие физической культуры и спорта Липецкой области" (ЦС  04 1 Р5 54951)</t>
  </si>
  <si>
    <t>8. Реализация мероприятий, направленных на приобретение спортивного оборудования и инвентаря для приведения организаций спортивной подготовки в нормативное состояние (субсидии бюджетам муниципальных районов и городских округов на реализацию муниципальных программ, направленных на совершенствование спортивной подготовки по хоккею) в рамках регионального проекта "Спорт-норма жизни" подпрограммы "Развитие спорта высших достижений и системы подготовки спортивного резерва Липецкой области" государственной программы Липецкой области "Развитие физической культуры и спорта Липецкой области"   (ЦС  04 2 Р5 52292)</t>
  </si>
  <si>
    <t>9. Предоставление субсидий местным бюджетам на реализацию муниципальных программ, направленных на благоустройство зданий муниципальных общеобразовательных организаций в целях соблюдения требований к воздушно-тепловому режиму, водоснабжению и канализации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  (ЦС  05 1 29 R2550)</t>
  </si>
  <si>
    <t>10. Создание в общеобразовательных организациях, расположенных в сельской местности и малых городах, условий для занятий физической культурой и спортом в рамках регионального проекта "Успех каждого ребенка"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  (ЦС  05 1 Е2 50970)</t>
  </si>
  <si>
    <t>11.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в рамках регионального проекта "Содействие занятости женщин - создание условий дошкольного образования для детей в возрасте до трех лет"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  (ЦС  05 1 Р2 52320 )</t>
  </si>
  <si>
    <t>12. Предоставление субсидий местным бюджетам на реализацию муниципальных программ, направленных на создание новых мест в общеобразовательных организациях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  (ЦС  05 5 01 R5200)</t>
  </si>
  <si>
    <t>13. Создание новых мест в общеобразовательных организациях, расположенных в сельской местности и поселках городского типа в рамках регионального проекта "Современная школа" подпрограммы "Создание современной образовательной среды для школьников" государственной программы Липецкой области "Развитие образования Липецкой области"  (ЦС  05 5 E1 52300)</t>
  </si>
  <si>
    <t>14. Создание новых мест в общеобразовательных организациях в рамках регионального проекта "Современная школа" подпрограммы "Создание современной образовательной среды для школьников" государственной программы Липецкой области "Развитие образования Липецкой области"  (ЦС  05 5 E1 55200)</t>
  </si>
  <si>
    <t>15.  Поддержка отрасли культуры (предоставление субсидий местным бюджетам на реализацию муниципальных программ, направленных на создание и модернизацию учреждений культурно-досугового типа в сельской местности, включая обеспечение инфраструктуры (в том числе строительство, реконструкцию и капитальный ремонт зданий), приобретение оборудования для оснащения учреждений и привлечение специалистов культурно-досуговой деятельности в целях обеспечения доступа к культурным ценностям и творческой самореализации жителей сельской местности) в рамках регионального проекта  "Культурная среда"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(ЦС  06 1 A1 55196)</t>
  </si>
  <si>
    <t>16. Поддержка отрасли культуры (предоставление субсидий местным бюджетам на реализацию муниципальных программ, направленных на проведение мероприятий по подключению общедоступных библиотек к сети «Интернет» и развитие системы библиотечного дела с учетом задачи расширения информационных технологий и оцифровки)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(ЦС  06 1 15 R5192)</t>
  </si>
  <si>
    <t>Целевая  статья  01 4 22 R3040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</si>
  <si>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(000 2 02 25304 00 0000 150)</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</si>
  <si>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(000 2 02 25304 04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</si>
  <si>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(000 2 02 25304 05 0000 150)</t>
  </si>
  <si>
    <t>01 4 22 R3040 - обл</t>
  </si>
  <si>
    <t>01 4 22 R3040 - фед</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</si>
  <si>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t>
  </si>
  <si>
    <t>05 1 32 53030</t>
  </si>
  <si>
    <t>Целевая  статья  05 1 32 53030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</si>
  <si>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(000 2 02 45303 00 0000 150)</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</si>
  <si>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(000 2 02 45303 04 0000 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</si>
  <si>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(000 2 02 45303 05 0000 150)</t>
  </si>
  <si>
    <t>11 4 04 86400</t>
  </si>
  <si>
    <t>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начинающим субъектам малого предпринимательства (за исключением производственных кооперативов, потребительских кооперативов и крестьянских (фермерских) хозяйств) на возмещение затрат по организации и развитию собственного дела  в рамках подпрограммы "Развитие малого и среднего предпринимательства в Липецкой области на 2014-2020 годы" государственной программы Липецкой области "Модернизация и инновационное развитие экономики Липецкой области"</t>
  </si>
  <si>
    <t>Целевые  статьи  11 4 04 86400,  11 4 I5 55276,  11 4 07 86275,  11 4 08 R5276,  11 4 08 86276</t>
  </si>
  <si>
    <t>1.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  (ЦС  05 1 32 53030)</t>
  </si>
  <si>
    <t>2.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в рамках регионального проекта "Содействие занятости женщин - создание условий дошкольного образования для детей в возрасте до трех лет" подпрограммы "Ресурсное обеспечение развития образования Липецкой области" государственной программы Липецкой области "Развитие образования Липецкой области"  (ЦС  05 1 Р2 51590)</t>
  </si>
  <si>
    <t>3.  Создание модельных муниципальных библиотек в рамках регионального проекта  "Культурная среда"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(ЦС  06 1 А1 54540)</t>
  </si>
  <si>
    <t>4.   Создание виртуальных концертных залов в рамках регионального проекта  "Цифровая культура"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(ЦС  06 1 А3 54530)</t>
  </si>
  <si>
    <t>5.  Финансовое обеспечение дорожной деятельности в рамках реализации мероприятий приоритетного проекта "Безопасные и качественные дороги" государственной программы Российской Федерации "Развитие транспортной системы" в рамках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  (ЦС  14 1 01 53900)</t>
  </si>
  <si>
    <t>6.  Финансовое обеспечение дорожной деятельности в рамках реализации национального проекта «Безопасные и качественные автомобильные дороги» (предоставление иных межбюджетных трансфертов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Липецкой агломерации) в рамках регионального проекта "Дорожная сеть"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   (ЦС  14 1 R1 53934)</t>
  </si>
  <si>
    <t>7.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в рамках регионального проекта "Общесистемные меры развития дорожного хозяйства" подпрограммы "Развитие дорожного комплекса Липецкой области" государственной программы Липецкой области "Развитие транспортной системы Липецкой области"  (ЦС  14 1 R2 54180)</t>
  </si>
  <si>
    <t>8.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в рамках регионального проекта "Формирование комфортной городской среды" подпрограммы "Развитие благоустройства территорий муниципальных образований Липецкой области" государственной программы Липецкой области "Формирование современной городской среды в Липецкой области"  (20 1 F2 54240)</t>
  </si>
  <si>
    <t>Социальное обеспечение населения</t>
  </si>
  <si>
    <t>отклонение  от  нераспределенной</t>
  </si>
  <si>
    <t>Субсидии бюджетам муниципальных районов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  (000 2 02 20299 05 0000 151)</t>
  </si>
  <si>
    <t>БЕЗ  ФОНДА  РЕФОРМИРОВАНИЯ  ЖКХ</t>
  </si>
  <si>
    <t>целевые  МБТ  БП</t>
  </si>
  <si>
    <t>целевые  МБТ  ГП</t>
  </si>
  <si>
    <t>целевые  МБТ  МР  и  ГО</t>
  </si>
  <si>
    <t>целевые  МБТ  КБ</t>
  </si>
  <si>
    <t>06 1 20 R3060</t>
  </si>
  <si>
    <t>Предоставление субсидий местным бюджетам на реализацию муниципальных программ, направленных на модернизацию муниципальных детских школ искусств по видам искусств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t>
  </si>
  <si>
    <t>18. Предоставление субсидий местным бюджетам на реализацию муниципальных программ, направленных на обеспечение развития и укрепления материально-технической базы муниципальных домов культуры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(ЦС  06 1 62 R4670)</t>
  </si>
  <si>
    <t>19.  Предоставление субсидий местным бюджетам на реализацию муниципальных программ, направленных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(ЦС  06 1 63 R4660)</t>
  </si>
  <si>
    <t>20.  Стимулирование программ развития жилищного строительства в рамках регионального проекта "Жилье" подпрограммы "Стимулирование жилищного строительства в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  (ЦС  08 4 F1 50210)</t>
  </si>
  <si>
    <t>22. Предоставление субсидий местным бюджетам на реализацию муниципальных программ, направленных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Фонда содействия реформированию жилищно-коммунального хозяйства в рамках регионального проекта "Обеспечение устойчивого сокращения непригодного для проживания жилищного фонда" подпрограммы «Улучшение качества жилищного фонда,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  (ЦС  08 6 F3 67483)</t>
  </si>
  <si>
    <t>23. Реализация мероприятий федеральной целевой программы «Увековечение памяти погибших при защите Отечества на 2019 - 2024 годы» за счет средств резервного фонда Правительства Российской Федерации в рамках подпрограммы "Содействие развитию гражданского общества, патриотического воспитания населения Липецкой области и реализация молодежной политики" государственной программы Липецкой области "Реализация внутренней политики Липецкой области"  (ЦС  10 1 10 R299F)</t>
  </si>
  <si>
    <t>24.  Реализация мероприятий федеральной целевой программы «Увековечение памяти погибших при защите Отечества на 2019-2024 годы» (предоставление субсидий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Великой Отечественной войны 1941 - 1945 годов) в рамках подпрограммы "Содействие развитию гражданского общества, патриотического воспитания населения Липецкой области и реализация молодежной политики" государственной программы Липецкой области "Реализация внутренней политики Липецкой области"  (ЦС  10 1 13 R2991)</t>
  </si>
  <si>
    <t>25. Государственная поддержка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(предоставление субсидии местным бюджетам для реализации муниципальных программ развития малого и среднего предпринимательства в части предоставления субсидий субъектам малого и среднего предпринимательства монопрофильных муниципальных образований на возмещение части затрат по уплате процентов по кредитам и договорам лизинга, первого взноса по договорам лизинга, по созданию и (или) развитию центров времяпрепровождения детей дошкольного возраста, на возмещение части затрат субъектов социального предпринимательства) в рамках подпрограммы "Развитие малого и среднего предпринимательства в Липецкой области на 2014-2020 годы" государственной программы Липецкой области "Модернизация и инновационное развитие экономики Липецкой области"  (ЦС  11 4 08 R5276)</t>
  </si>
  <si>
    <t>26. Государственная поддержка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(предоставление субсидий местным бюджетам на реализацию муниципальных программ развития малого и среднего предпринимательства в части предоставления субсидий на возмещение затрат по разработке проектно-сметной документации, по подготовке площадок для размещения резидентов и инфраструктуры технопарка, в том числе на проведение коммуникаций, строительство (реконструкцию) офисных и производственных площадей, по приобретению офисного и технологического оборудования) в рамках регионального проекта "Акселерация субъектов малого и среднего предпринимательства" подпрограммы "Развитие малого и среднего предпринимательства в Липецкой области на 2014-2020 годы" государственной программы Липецкой области "Модернизация и инновационное развитие экономики Липецкой области"  (ЦС  11 4 I5 55276)</t>
  </si>
  <si>
    <t>27. Реализация мероприятий по ликвидации несанкционированных свалок в границах городов и наиболее опасных объектов накопленного экологического вреда окружающей среде (предоставление субсидий местным бюджетам на реализацию муниципальных программ, направленных на ликвидацию несанкционированных свалок в границах городов и наиболее опасных объектов накопленного экологического вреда окружающей среде) в рамках регионального проекта "Чистая страна" подпрограммы «Обращение с отходами на территории Липецкой области»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  (ЦС  16 2 G1 52421)</t>
  </si>
  <si>
    <t>28. Реализация мероприятий, направленных на формирование современной городской среды в рамках регионального проекта "Формирование комфортной городской среды" подпрограммы "Развитие благоустройства территорий муниципальных образований Липецкой области" государственной программы Липецкой области "Формирование современной городской среды в Липецкой области"  (ЦС  20 1 F2 55550)</t>
  </si>
  <si>
    <t>29. 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жилого помещения (жилого дома), предоставляемого гражданам, проживающим на сельских территориях, по договору найма жилого помещения) в рамках подпрограммы "Создание и развитие инфраструктуры на сельских территориях" государственной программы Липецкой области "Комплексное развитие сельских территорий Липецкой области"   (ЦС  21 1 02 R5762)</t>
  </si>
  <si>
    <t>30. 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благоустройство сельских территорий) в рамках подпрограммы "Создание и развитие инфраструктуры на сельских территориях" государственной программы Липецкой области "Комплексное развитие сельских территорий Липецкой области"  (ЦС  21 2 01 R5763)</t>
  </si>
  <si>
    <t>31.  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развитие газификации на сельских территориях) в рамках подпрограммы «Создание и развитие инфраструктуры на сельских территориях» государственной программы Липецкой области "Комплексное развитие сельских территорий Липецкой области"   (ЦС  21 2 02 R5764)</t>
  </si>
  <si>
    <t>32. 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 в рамках подпрограммы "Создание и развитие инфраструктуры на сельских территориях" государственной программы Липецкой области "Комплексное развитие сельских территорий Липецкой области"  (ЦС  21 2 05 R5766)</t>
  </si>
  <si>
    <t>17.  Предоставление субсидий местным бюджетам на реализацию муниципальных программ, направленных на модернизацию муниципальных детских школ искусств по видам искусств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(ЦС  06 1 20 R3060)</t>
  </si>
  <si>
    <t>Целевая  статья  06 1 20 R3060</t>
  </si>
  <si>
    <t>Субсидии бюджетам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     (000 2 02 25306 00 0000 150)</t>
  </si>
  <si>
    <t>06 1 20 R3060 - обл</t>
  </si>
  <si>
    <t>06 1 20 R3060 - фед</t>
  </si>
  <si>
    <t>Субсидии бюджетам городских округов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     (000 2 02 25306 04 0000 150)</t>
  </si>
  <si>
    <t>Субсидии бюджетам муниципальных районов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     (000 2 02 25306 05 0000 150)</t>
  </si>
  <si>
    <t>Целевые  статьи  05 1 Р2 51590,  05 1 Р2 87050</t>
  </si>
  <si>
    <t>Межбюджетные трансферты, передаваемые бюджетам городских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45424 04 0000 150)</t>
  </si>
  <si>
    <t>Межбюджетные трансферты, передаваемые бюджетам муниципальных районов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45424 05 0000 150)</t>
  </si>
  <si>
    <t>Субсидии бюджетам муниципальных районов на обеспечение комплексного развития сельских территорий  (000 2 02 25576 05 0000 150)</t>
  </si>
  <si>
    <t>Целевые  статьи  21 1 02 R5762,  21 2 01 R5763,  21 2 05 R5766</t>
  </si>
  <si>
    <t>генератор  отчетов  (Расходы  по  субсидии  по  ЦС  (райгруппа)</t>
  </si>
  <si>
    <t>99 4 00 5930F</t>
  </si>
  <si>
    <t>Целевые  статьи  99 4 00 85020  (областные),  99 4 00 59300  (федеральные),  99 4 00 5930F</t>
  </si>
  <si>
    <t>6.  Осуществление первичного воинского учета на территориях, где отсутствуют военные комиссариаты по непрограммному направлению расходов "Иные непрограммные мероприятия" в рамках непрограммных расходов областного бюджета  (ЦС  99 9 00 51180)</t>
  </si>
  <si>
    <t>7.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непрограммному направлению расходов "Иные непрограммные мероприятия" в рамках непрограммных расходов областного бюджета  (ЦС  99 9 00 51200)</t>
  </si>
  <si>
    <t xml:space="preserve">8. Проведение Всероссийской переписи населения (ЦС  99 9 00 54690)  </t>
  </si>
  <si>
    <t>5.  Субвенция на осуществление переданных полномочий Российской Федерации по государственной регистрации актов гражданского состояния за счет средств резервного фонда Правительства Российской Федерации  по непрограммному направлению расходов "Обеспечение деятельности в сфере государственной регистрации актов гражданского состояния" в рамках непрограммных расходов областного бюджета  (ЦС  99 4 00 5930F)</t>
  </si>
  <si>
    <t>Целевая  статья  99 4 00 5930F</t>
  </si>
  <si>
    <t>за счет средств резервного фонда Правительства Российской Федерации</t>
  </si>
  <si>
    <t>за счет средств федерального бюджета</t>
  </si>
  <si>
    <t>21. Предоставление субсидий местным бюджетам на реализацию муниципальных программ, направленных на возмещение части расходов на оплату услуг и (или) работ по энергосбережению и повышению энергетической эффективности, выполненных в ходе оказания и (или) выполнения услуг и (или) работ по капитальному ремонту общего имущества в многоквартирном доме за счет средств Фонда содействия реформированию жилищно-коммунального хозяйства в рамках подпрограммы «Улучшение качества жилищного фонда,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  (ЦС  08 6 13 09503)</t>
  </si>
  <si>
    <t>Целевая  статья  04 2 Р5 52292</t>
  </si>
  <si>
    <t>04 2 Р5 52292 - обл</t>
  </si>
  <si>
    <t>04 2 Р5 52292 - фед</t>
  </si>
  <si>
    <t>04 1 Р5 52282 - фед</t>
  </si>
  <si>
    <t xml:space="preserve">Целевые  статьи  04 1 Р5 52281,  04 1 Р5 52282 </t>
  </si>
  <si>
    <t>10 1 13 R2991 - обл</t>
  </si>
  <si>
    <t>10 1 13 R2991 - фед</t>
  </si>
  <si>
    <t>Целевые  статьи  10 1 13 R2991,  10 1 10 R299F</t>
  </si>
  <si>
    <t>Целевая  статья  10 1 13 R2991</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</si>
</sst>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_-* #,##0.00_р_._-;\-* #,##0.00_р_._-;_-* &quot;-&quot;??_р_._-;_-@_-"/>
    <numFmt numFmtId="165" formatCode="_-* #,##0_р_._-;\-* #,##0_р_._-;_-* &quot;-&quot;??_р_._-;_-@_-"/>
    <numFmt numFmtId="166" formatCode="_-* #,##0.0_р_._-;\-* #,##0.0_р_._-;_-* &quot;-&quot;??_р_._-;_-@_-"/>
    <numFmt numFmtId="167" formatCode="_-* #,##0.00000_р_._-;\-* #,##0.00000_р_._-;_-* &quot;-&quot;??_р_._-;_-@_-"/>
    <numFmt numFmtId="168" formatCode="#,##0.0"/>
    <numFmt numFmtId="169" formatCode="#,##0.000"/>
    <numFmt numFmtId="170" formatCode="#,##0.00;[Red]#,##0.00"/>
    <numFmt numFmtId="171" formatCode="_-* #,##0.0\ _р_._-;\-* #,##0.0\ _р_._-;_-* &quot;-&quot;??\ _р_._-;_-@_-"/>
    <numFmt numFmtId="172" formatCode="_-* #,##0.00\ _р_._-;\-* #,##0.00\ _р_._-;_-* &quot;-&quot;??\ _р_._-;_-@_-"/>
    <numFmt numFmtId="173" formatCode="_-* #,##0.000_р_._-;\-* #,##0.000_р_._-;_-* &quot;-&quot;??_р_._-;_-@_-"/>
    <numFmt numFmtId="174" formatCode="_-* #,##0.0_р_._-;\-* #,##0.0_р_._-;_-* &quot;-&quot;?_р_._-;_-@_-"/>
  </numFmts>
  <fonts count="152" x14ac:knownFonts="1">
    <font>
      <sz val="10"/>
      <name val="Arial Cyr"/>
      <charset val="204"/>
    </font>
    <font>
      <sz val="10"/>
      <name val="Arial Cyr"/>
      <charset val="204"/>
    </font>
    <font>
      <sz val="8"/>
      <name val="Arial Cyr"/>
      <family val="2"/>
      <charset val="204"/>
    </font>
    <font>
      <b/>
      <sz val="10"/>
      <name val="Arial Cyr"/>
      <charset val="204"/>
    </font>
    <font>
      <b/>
      <sz val="13"/>
      <name val="Arial Cyr"/>
      <charset val="204"/>
    </font>
    <font>
      <b/>
      <sz val="12"/>
      <name val="Arial Cyr"/>
      <charset val="204"/>
    </font>
    <font>
      <b/>
      <sz val="13"/>
      <color indexed="10"/>
      <name val="Arial Cyr"/>
      <charset val="204"/>
    </font>
    <font>
      <b/>
      <sz val="11"/>
      <name val="Arial Cyr"/>
      <charset val="204"/>
    </font>
    <font>
      <b/>
      <sz val="11"/>
      <name val="Arial Cyr"/>
      <family val="2"/>
      <charset val="204"/>
    </font>
    <font>
      <b/>
      <sz val="11"/>
      <color indexed="10"/>
      <name val="Arial Cyr"/>
      <family val="2"/>
      <charset val="204"/>
    </font>
    <font>
      <sz val="11"/>
      <name val="Arial CYR"/>
      <family val="2"/>
      <charset val="204"/>
    </font>
    <font>
      <b/>
      <sz val="10"/>
      <color indexed="10"/>
      <name val="Arial Cyr"/>
      <charset val="204"/>
    </font>
    <font>
      <b/>
      <sz val="11"/>
      <color indexed="10"/>
      <name val="Arial Cyr"/>
      <charset val="204"/>
    </font>
    <font>
      <sz val="11"/>
      <name val="Arial Cyr"/>
      <charset val="204"/>
    </font>
    <font>
      <i/>
      <sz val="11"/>
      <name val="Arial Cyr"/>
      <charset val="204"/>
    </font>
    <font>
      <i/>
      <sz val="11"/>
      <color indexed="10"/>
      <name val="Arial CYR"/>
      <charset val="204"/>
    </font>
    <font>
      <b/>
      <sz val="15"/>
      <name val="Arial Cyr"/>
      <family val="2"/>
      <charset val="204"/>
    </font>
    <font>
      <b/>
      <sz val="13"/>
      <name val="Arial Cyr"/>
      <family val="2"/>
      <charset val="204"/>
    </font>
    <font>
      <b/>
      <sz val="12"/>
      <name val="Arial Cyr"/>
      <family val="2"/>
      <charset val="204"/>
    </font>
    <font>
      <b/>
      <sz val="10"/>
      <name val="Arial Cyr"/>
      <family val="2"/>
      <charset val="204"/>
    </font>
    <font>
      <b/>
      <sz val="12"/>
      <name val="Arial"/>
      <family val="2"/>
      <charset val="204"/>
    </font>
    <font>
      <b/>
      <sz val="13"/>
      <color indexed="10"/>
      <name val="Arial Cyr"/>
      <family val="2"/>
      <charset val="204"/>
    </font>
    <font>
      <b/>
      <i/>
      <sz val="13"/>
      <name val="Arial"/>
      <family val="2"/>
      <charset val="204"/>
    </font>
    <font>
      <b/>
      <sz val="13"/>
      <name val="Arial"/>
      <family val="2"/>
      <charset val="204"/>
    </font>
    <font>
      <b/>
      <sz val="13"/>
      <color indexed="10"/>
      <name val="Arial"/>
      <family val="2"/>
      <charset val="204"/>
    </font>
    <font>
      <sz val="13"/>
      <name val="Arial Cyr"/>
      <family val="2"/>
      <charset val="204"/>
    </font>
    <font>
      <sz val="13"/>
      <name val="Arial Cyr"/>
      <charset val="204"/>
    </font>
    <font>
      <b/>
      <sz val="12"/>
      <color indexed="10"/>
      <name val="Arial Cyr"/>
      <charset val="204"/>
    </font>
    <font>
      <b/>
      <sz val="12"/>
      <color indexed="10"/>
      <name val="Arial Cyr"/>
      <family val="2"/>
      <charset val="204"/>
    </font>
    <font>
      <b/>
      <sz val="11"/>
      <name val="Arial"/>
      <family val="2"/>
      <charset val="204"/>
    </font>
    <font>
      <b/>
      <sz val="12"/>
      <color indexed="10"/>
      <name val="Arial"/>
      <family val="2"/>
      <charset val="204"/>
    </font>
    <font>
      <b/>
      <sz val="11"/>
      <color indexed="10"/>
      <name val="Arial"/>
      <family val="2"/>
      <charset val="204"/>
    </font>
    <font>
      <b/>
      <sz val="10"/>
      <name val="Arial"/>
      <family val="2"/>
      <charset val="204"/>
    </font>
    <font>
      <b/>
      <sz val="10"/>
      <color indexed="10"/>
      <name val="Arial"/>
      <family val="2"/>
      <charset val="204"/>
    </font>
    <font>
      <sz val="10"/>
      <name val="Arial"/>
      <family val="2"/>
      <charset val="204"/>
    </font>
    <font>
      <b/>
      <sz val="13"/>
      <color indexed="8"/>
      <name val="Arial"/>
      <family val="2"/>
      <charset val="204"/>
    </font>
    <font>
      <b/>
      <sz val="14"/>
      <name val="Arial Cyr"/>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2"/>
      <name val="Arial Cyr"/>
      <family val="2"/>
      <charset val="204"/>
    </font>
    <font>
      <b/>
      <i/>
      <sz val="12"/>
      <color indexed="10"/>
      <name val="Arial"/>
      <family val="2"/>
      <charset val="204"/>
    </font>
    <font>
      <b/>
      <sz val="15"/>
      <color indexed="10"/>
      <name val="Arial Cyr"/>
      <charset val="204"/>
    </font>
    <font>
      <sz val="10"/>
      <name val="Arial"/>
      <family val="2"/>
      <charset val="204"/>
    </font>
    <font>
      <sz val="8"/>
      <name val="Arial Cyr"/>
      <charset val="204"/>
    </font>
    <font>
      <b/>
      <sz val="11"/>
      <color indexed="8"/>
      <name val="Arial Cyr"/>
      <charset val="204"/>
    </font>
    <font>
      <b/>
      <i/>
      <sz val="10"/>
      <name val="Arial Cyr"/>
      <charset val="204"/>
    </font>
    <font>
      <b/>
      <i/>
      <sz val="11"/>
      <color indexed="10"/>
      <name val="Arial Cyr"/>
      <charset val="204"/>
    </font>
    <font>
      <b/>
      <i/>
      <sz val="11"/>
      <color indexed="10"/>
      <name val="Arial"/>
      <family val="2"/>
      <charset val="204"/>
    </font>
    <font>
      <b/>
      <i/>
      <sz val="11"/>
      <name val="Arial Cyr"/>
      <charset val="204"/>
    </font>
    <font>
      <b/>
      <i/>
      <sz val="11"/>
      <name val="Arial"/>
      <family val="2"/>
      <charset val="204"/>
    </font>
    <font>
      <sz val="10"/>
      <name val="Arial"/>
      <family val="2"/>
      <charset val="204"/>
    </font>
    <font>
      <sz val="12"/>
      <name val="Arial"/>
      <family val="2"/>
      <charset val="204"/>
    </font>
    <font>
      <sz val="10"/>
      <name val="Arial"/>
      <family val="2"/>
      <charset val="204"/>
    </font>
    <font>
      <b/>
      <sz val="14"/>
      <name val="Arial"/>
      <family val="2"/>
      <charset val="204"/>
    </font>
    <font>
      <sz val="11"/>
      <name val="Calibri"/>
      <family val="2"/>
    </font>
    <font>
      <b/>
      <i/>
      <u/>
      <sz val="10"/>
      <name val="Arial Cyr"/>
      <charset val="204"/>
    </font>
    <font>
      <sz val="11"/>
      <color theme="1"/>
      <name val="Calibri"/>
      <family val="2"/>
      <charset val="204"/>
      <scheme val="minor"/>
    </font>
    <font>
      <sz val="11"/>
      <color theme="0"/>
      <name val="Calibri"/>
      <family val="2"/>
      <charset val="204"/>
      <scheme val="minor"/>
    </font>
    <font>
      <sz val="11"/>
      <name val="Calibri"/>
      <family val="2"/>
      <scheme val="minor"/>
    </font>
    <font>
      <b/>
      <sz val="11"/>
      <color rgb="FF000000"/>
      <name val="Arial"/>
      <family val="2"/>
      <charset val="204"/>
    </font>
    <font>
      <sz val="10"/>
      <color rgb="FF000000"/>
      <name val="Arial"/>
      <family val="2"/>
      <charset val="204"/>
    </font>
    <font>
      <b/>
      <i/>
      <sz val="12"/>
      <color rgb="FF000000"/>
      <name val="Times New Roman Cyr"/>
      <family val="2"/>
    </font>
    <font>
      <b/>
      <i/>
      <sz val="10"/>
      <color rgb="FF000000"/>
      <name val="Times New Roman Cyr"/>
      <family val="2"/>
    </font>
    <font>
      <i/>
      <sz val="10"/>
      <color rgb="FF000000"/>
      <name val="Times New Roman Cyr"/>
      <family val="2"/>
    </font>
    <font>
      <b/>
      <i/>
      <sz val="9"/>
      <color rgb="FF000000"/>
      <name val="Times New Roman Cyr"/>
      <family val="2"/>
    </font>
    <font>
      <b/>
      <i/>
      <sz val="11"/>
      <color rgb="FF000000"/>
      <name val="Times New Roman Cyr"/>
      <family val="2"/>
    </font>
    <font>
      <sz val="10"/>
      <color rgb="FF000000"/>
      <name val="Times New Roman Cyr"/>
      <family val="2"/>
    </font>
    <font>
      <sz val="10"/>
      <color rgb="FF000000"/>
      <name val="Arial"/>
      <family val="2"/>
    </font>
    <font>
      <sz val="10"/>
      <color rgb="FF000000"/>
      <name val="Arial Cyr"/>
      <family val="2"/>
    </font>
    <font>
      <u/>
      <sz val="9"/>
      <color rgb="FF000000"/>
      <name val="Arial CYR"/>
      <family val="2"/>
    </font>
    <font>
      <u/>
      <sz val="10"/>
      <color rgb="FF000000"/>
      <name val="Times New Roman Cyr"/>
      <family val="2"/>
    </font>
    <font>
      <b/>
      <sz val="12"/>
      <color rgb="FF000000"/>
      <name val="Times New Roman Cyr"/>
      <family val="2"/>
    </font>
    <font>
      <b/>
      <i/>
      <sz val="12"/>
      <color rgb="FF000000"/>
      <name val="Arial Cyr"/>
      <family val="2"/>
    </font>
    <font>
      <b/>
      <sz val="9"/>
      <color rgb="FF000000"/>
      <name val="Times New Roman Cyr"/>
      <family val="2"/>
    </font>
    <font>
      <b/>
      <i/>
      <sz val="11"/>
      <color rgb="FF000000"/>
      <name val="Arial Cyr"/>
      <family val="2"/>
    </font>
    <font>
      <sz val="11"/>
      <color rgb="FF000000"/>
      <name val="Arial Cyr"/>
      <family val="2"/>
    </font>
    <font>
      <b/>
      <sz val="10"/>
      <color rgb="FF000000"/>
      <name val="Times New Roman Cyr"/>
      <family val="2"/>
    </font>
    <font>
      <b/>
      <sz val="8"/>
      <color rgb="FF000000"/>
      <name val="Arial Cyr"/>
      <family val="2"/>
    </font>
    <font>
      <b/>
      <sz val="10"/>
      <color rgb="FF000000"/>
      <name val="Arial Cyr"/>
      <family val="2"/>
    </font>
    <font>
      <sz val="8"/>
      <color rgb="FF000000"/>
      <name val="Arial Cyr"/>
      <family val="2"/>
    </font>
    <font>
      <sz val="9"/>
      <color rgb="FF000000"/>
      <name val="Arial Cyr"/>
      <family val="2"/>
    </font>
    <font>
      <sz val="7"/>
      <color rgb="FF000000"/>
      <name val="Arial Cyr"/>
      <family val="2"/>
    </font>
    <font>
      <sz val="8"/>
      <color rgb="FF000000"/>
      <name val="Times New Roman Cyr"/>
      <family val="2"/>
    </font>
    <font>
      <b/>
      <sz val="9"/>
      <color rgb="FF000000"/>
      <name val="Arial CYR"/>
      <family val="2"/>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b/>
      <sz val="11"/>
      <color theme="1"/>
      <name val="Calibri"/>
      <family val="2"/>
      <charset val="204"/>
      <scheme val="minor"/>
    </font>
    <font>
      <b/>
      <sz val="11"/>
      <color theme="0"/>
      <name val="Calibri"/>
      <family val="2"/>
      <charset val="204"/>
      <scheme val="minor"/>
    </font>
    <font>
      <b/>
      <sz val="18"/>
      <color theme="3"/>
      <name val="Cambria"/>
      <family val="2"/>
      <charset val="204"/>
      <scheme val="major"/>
    </font>
    <font>
      <sz val="11"/>
      <color rgb="FF9C6500"/>
      <name val="Calibri"/>
      <family val="2"/>
      <charset val="204"/>
      <scheme val="minor"/>
    </font>
    <font>
      <sz val="11"/>
      <color rgb="FF9C0006"/>
      <name val="Calibri"/>
      <family val="2"/>
      <charset val="204"/>
      <scheme val="minor"/>
    </font>
    <font>
      <i/>
      <sz val="11"/>
      <color rgb="FF7F7F7F"/>
      <name val="Calibri"/>
      <family val="2"/>
      <charset val="204"/>
      <scheme val="minor"/>
    </font>
    <font>
      <sz val="11"/>
      <color rgb="FFFA7D00"/>
      <name val="Calibri"/>
      <family val="2"/>
      <charset val="204"/>
      <scheme val="minor"/>
    </font>
    <font>
      <sz val="11"/>
      <color rgb="FFFF0000"/>
      <name val="Calibri"/>
      <family val="2"/>
      <charset val="204"/>
      <scheme val="minor"/>
    </font>
    <font>
      <sz val="11"/>
      <color rgb="FF006100"/>
      <name val="Calibri"/>
      <family val="2"/>
      <charset val="204"/>
      <scheme val="minor"/>
    </font>
    <font>
      <b/>
      <sz val="12"/>
      <color rgb="FFFF0000"/>
      <name val="Arial"/>
      <family val="2"/>
      <charset val="204"/>
    </font>
    <font>
      <b/>
      <sz val="13"/>
      <color rgb="FFFF0000"/>
      <name val="Arial"/>
      <family val="2"/>
      <charset val="204"/>
    </font>
    <font>
      <b/>
      <sz val="11"/>
      <color rgb="FFFF0000"/>
      <name val="Arial Cyr"/>
      <charset val="204"/>
    </font>
    <font>
      <b/>
      <sz val="11"/>
      <color rgb="FFFF0000"/>
      <name val="Arial"/>
      <family val="2"/>
      <charset val="204"/>
    </font>
    <font>
      <b/>
      <i/>
      <sz val="11"/>
      <color rgb="FFFF0000"/>
      <name val="Arial"/>
      <family val="2"/>
      <charset val="204"/>
    </font>
    <font>
      <b/>
      <sz val="12"/>
      <color rgb="FF000000"/>
      <name val="Arial Cyr"/>
      <family val="2"/>
    </font>
    <font>
      <b/>
      <sz val="10"/>
      <color rgb="FF000000"/>
      <name val="Arial Cyr"/>
    </font>
    <font>
      <b/>
      <sz val="12"/>
      <color rgb="FF000000"/>
      <name val="Arial Cyr"/>
    </font>
    <font>
      <b/>
      <sz val="14"/>
      <color rgb="FFFF0000"/>
      <name val="Arial Cyr"/>
      <charset val="204"/>
    </font>
    <font>
      <b/>
      <sz val="14"/>
      <color rgb="FF000000"/>
      <name val="Arial Cyr"/>
      <charset val="204"/>
    </font>
    <font>
      <b/>
      <sz val="14"/>
      <color rgb="FF000000"/>
      <name val="Arial Cyr"/>
    </font>
    <font>
      <sz val="12"/>
      <color rgb="FF000000"/>
      <name val="Arial"/>
      <family val="2"/>
      <charset val="204"/>
    </font>
    <font>
      <b/>
      <sz val="12"/>
      <color rgb="FF000000"/>
      <name val="Arial"/>
      <family val="2"/>
      <charset val="204"/>
    </font>
    <font>
      <b/>
      <sz val="13"/>
      <color rgb="FF000000"/>
      <name val="Arial"/>
      <family val="2"/>
      <charset val="204"/>
    </font>
    <font>
      <b/>
      <sz val="11"/>
      <color rgb="FFFF0000"/>
      <name val="Arial Cyr"/>
    </font>
    <font>
      <b/>
      <sz val="14"/>
      <color rgb="FFFF0000"/>
      <name val="Times New Roman Cyr"/>
      <charset val="204"/>
    </font>
    <font>
      <b/>
      <sz val="13"/>
      <color rgb="FF000000"/>
      <name val="Arial Cyr"/>
    </font>
    <font>
      <b/>
      <sz val="10"/>
      <color rgb="FFFF0000"/>
      <name val="Arial Cyr"/>
    </font>
    <font>
      <b/>
      <sz val="13"/>
      <color rgb="FF000000"/>
      <name val="Arial Cyr"/>
      <family val="2"/>
    </font>
    <font>
      <b/>
      <sz val="12"/>
      <color rgb="FFFF0000"/>
      <name val="Arial Cyr"/>
      <charset val="204"/>
    </font>
    <font>
      <b/>
      <sz val="20"/>
      <name val="Arial Cyr"/>
      <charset val="204"/>
    </font>
    <font>
      <b/>
      <sz val="10"/>
      <color rgb="FF000000"/>
      <name val="Arial"/>
      <family val="2"/>
      <charset val="204"/>
    </font>
    <font>
      <b/>
      <sz val="14"/>
      <color rgb="FFFF0000"/>
      <name val="Arial"/>
      <family val="2"/>
      <charset val="204"/>
    </font>
    <font>
      <b/>
      <i/>
      <sz val="10"/>
      <name val="Arial"/>
      <family val="2"/>
      <charset val="204"/>
    </font>
    <font>
      <b/>
      <sz val="10"/>
      <color rgb="FFFF0000"/>
      <name val="Arial Cyr"/>
      <charset val="204"/>
    </font>
    <font>
      <sz val="10"/>
      <color rgb="FFFF0000"/>
      <name val="Arial Cyr"/>
      <charset val="204"/>
    </font>
    <font>
      <b/>
      <sz val="11"/>
      <color rgb="FF000000"/>
      <name val="Arial"/>
      <family val="2"/>
      <charset val="204"/>
    </font>
    <font>
      <b/>
      <i/>
      <u/>
      <sz val="10"/>
      <name val="Arial"/>
      <family val="2"/>
      <charset val="204"/>
    </font>
    <font>
      <b/>
      <sz val="13"/>
      <color rgb="FFFF0000"/>
      <name val="Arial Cyr"/>
      <charset val="204"/>
    </font>
    <font>
      <b/>
      <i/>
      <sz val="12"/>
      <color rgb="FF000000"/>
      <name val="Times New Roman Cyr"/>
    </font>
    <font>
      <sz val="12"/>
      <name val="Times New Roman"/>
      <family val="1"/>
      <charset val="204"/>
    </font>
    <font>
      <sz val="8"/>
      <color rgb="FF000000"/>
      <name val="Arial Cyr"/>
    </font>
    <font>
      <b/>
      <sz val="12"/>
      <color rgb="FFFF0000"/>
      <name val="Arial Cyr"/>
      <family val="2"/>
      <charset val="204"/>
    </font>
    <font>
      <b/>
      <sz val="14"/>
      <color indexed="10"/>
      <name val="Arial"/>
      <family val="2"/>
      <charset val="204"/>
    </font>
    <font>
      <b/>
      <sz val="13"/>
      <color rgb="FFFF0000"/>
      <name val="Arial Cyr"/>
      <family val="2"/>
      <charset val="204"/>
    </font>
    <font>
      <b/>
      <sz val="10"/>
      <color rgb="FFFF0000"/>
      <name val="Arial"/>
      <family val="2"/>
      <charset val="204"/>
    </font>
    <font>
      <b/>
      <sz val="11"/>
      <color rgb="FF000000"/>
      <name val="Arial"/>
    </font>
    <font>
      <b/>
      <sz val="10"/>
      <color rgb="FF000000"/>
      <name val="Arial"/>
    </font>
  </fonts>
  <fills count="7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65"/>
        <bgColor indexed="64"/>
      </patternFill>
    </fill>
    <fill>
      <patternFill patternType="solid">
        <fgColor indexed="26"/>
      </patternFill>
    </fill>
    <fill>
      <patternFill patternType="solid">
        <fgColor indexed="13"/>
        <bgColor indexed="64"/>
      </patternFill>
    </fill>
    <fill>
      <patternFill patternType="solid">
        <fgColor indexed="43"/>
        <bgColor indexed="64"/>
      </patternFill>
    </fill>
    <fill>
      <patternFill patternType="solid">
        <fgColor indexed="41"/>
        <bgColor indexed="64"/>
      </patternFill>
    </fill>
    <fill>
      <patternFill patternType="solid">
        <fgColor indexed="27"/>
        <bgColor indexed="64"/>
      </patternFill>
    </fill>
    <fill>
      <patternFill patternType="solid">
        <fgColor indexed="42"/>
        <bgColor indexed="64"/>
      </patternFill>
    </fill>
    <fill>
      <patternFill patternType="solid">
        <fgColor indexed="1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D5AB"/>
      </patternFill>
    </fill>
    <fill>
      <patternFill patternType="solid">
        <fgColor rgb="FFFFFF99"/>
      </patternFill>
    </fill>
    <fill>
      <patternFill patternType="solid">
        <fgColor rgb="FF99CCFF"/>
      </patternFill>
    </fill>
    <fill>
      <patternFill patternType="solid">
        <fgColor rgb="FFCCFFFF"/>
      </patternFill>
    </fill>
    <fill>
      <patternFill patternType="solid">
        <fgColor rgb="FFC0C0C0"/>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CCFFCC"/>
        <bgColor indexed="64"/>
      </patternFill>
    </fill>
    <fill>
      <patternFill patternType="solid">
        <fgColor rgb="FFFFFF00"/>
        <bgColor indexed="64"/>
      </patternFill>
    </fill>
    <fill>
      <patternFill patternType="solid">
        <fgColor rgb="FFCCFFFF"/>
        <bgColor indexed="64"/>
      </patternFill>
    </fill>
    <fill>
      <patternFill patternType="solid">
        <fgColor rgb="FF66FFFF"/>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rgb="FF00B0F0"/>
        <bgColor indexed="64"/>
      </patternFill>
    </fill>
    <fill>
      <patternFill patternType="solid">
        <fgColor rgb="FFF1F5F9"/>
      </patternFill>
    </fill>
    <fill>
      <patternFill patternType="solid">
        <fgColor rgb="FF92D050"/>
        <bgColor indexed="64"/>
      </patternFill>
    </fill>
  </fills>
  <borders count="93">
    <border>
      <left/>
      <right/>
      <top/>
      <bottom/>
      <diagonal/>
    </border>
    <border>
      <left style="thin">
        <color indexed="8"/>
      </left>
      <right style="thin">
        <color indexed="8"/>
      </right>
      <top style="thin">
        <color indexed="8"/>
      </top>
      <bottom style="thin">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thin">
        <color indexed="8"/>
      </left>
      <right style="thin">
        <color indexed="8"/>
      </right>
      <top/>
      <bottom style="thin">
        <color indexed="8"/>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rgb="FFFAC090"/>
      </top>
      <bottom style="medium">
        <color rgb="FFFAC090"/>
      </bottom>
      <diagonal/>
    </border>
    <border>
      <left style="thin">
        <color rgb="FFD9D9D9"/>
      </left>
      <right style="thin">
        <color rgb="FFD9D9D9"/>
      </right>
      <top/>
      <bottom style="thin">
        <color rgb="FFD9D9D9"/>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
      <left style="medium">
        <color rgb="FF000000"/>
      </left>
      <right style="thin">
        <color rgb="FF000000"/>
      </right>
      <top style="medium">
        <color rgb="FF000000"/>
      </top>
      <bottom style="medium">
        <color rgb="FF000000"/>
      </bottom>
      <diagonal/>
    </border>
    <border>
      <left/>
      <right/>
      <top style="medium">
        <color rgb="FF000000"/>
      </top>
      <bottom/>
      <diagonal/>
    </border>
    <border>
      <left/>
      <right/>
      <top/>
      <bottom style="thin">
        <color rgb="FF000000"/>
      </bottom>
      <diagonal/>
    </border>
    <border>
      <left/>
      <right/>
      <top style="medium">
        <color rgb="FF000000"/>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style="medium">
        <color indexed="64"/>
      </left>
      <right style="medium">
        <color indexed="64"/>
      </right>
      <top style="thin">
        <color rgb="FF000000"/>
      </top>
      <bottom style="thin">
        <color rgb="FF000000"/>
      </bottom>
      <diagonal/>
    </border>
    <border>
      <left/>
      <right style="medium">
        <color indexed="64"/>
      </right>
      <top style="thin">
        <color indexed="64"/>
      </top>
      <bottom/>
      <diagonal/>
    </border>
    <border>
      <left/>
      <right style="thin">
        <color indexed="64"/>
      </right>
      <top/>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medium">
        <color indexed="64"/>
      </left>
      <right style="medium">
        <color indexed="64"/>
      </right>
      <top/>
      <bottom style="thin">
        <color rgb="FF000000"/>
      </bottom>
      <diagonal/>
    </border>
    <border>
      <left style="thin">
        <color rgb="FF000000"/>
      </left>
      <right/>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rgb="FFD9D9D9"/>
      </left>
      <right/>
      <top/>
      <bottom style="thin">
        <color rgb="FFD9D9D9"/>
      </bottom>
      <diagonal/>
    </border>
  </borders>
  <cellStyleXfs count="212">
    <xf numFmtId="0" fontId="0" fillId="0" borderId="0"/>
    <xf numFmtId="0" fontId="37" fillId="2" borderId="0" applyNumberFormat="0" applyBorder="0" applyAlignment="0" applyProtection="0"/>
    <xf numFmtId="0" fontId="71" fillId="31" borderId="0" applyNumberFormat="0" applyBorder="0" applyAlignment="0" applyProtection="0"/>
    <xf numFmtId="0" fontId="37" fillId="3" borderId="0" applyNumberFormat="0" applyBorder="0" applyAlignment="0" applyProtection="0"/>
    <xf numFmtId="0" fontId="71" fillId="32" borderId="0" applyNumberFormat="0" applyBorder="0" applyAlignment="0" applyProtection="0"/>
    <xf numFmtId="0" fontId="37" fillId="4" borderId="0" applyNumberFormat="0" applyBorder="0" applyAlignment="0" applyProtection="0"/>
    <xf numFmtId="0" fontId="71" fillId="33" borderId="0" applyNumberFormat="0" applyBorder="0" applyAlignment="0" applyProtection="0"/>
    <xf numFmtId="0" fontId="37" fillId="5" borderId="0" applyNumberFormat="0" applyBorder="0" applyAlignment="0" applyProtection="0"/>
    <xf numFmtId="0" fontId="71" fillId="34" borderId="0" applyNumberFormat="0" applyBorder="0" applyAlignment="0" applyProtection="0"/>
    <xf numFmtId="0" fontId="37" fillId="6" borderId="0" applyNumberFormat="0" applyBorder="0" applyAlignment="0" applyProtection="0"/>
    <xf numFmtId="0" fontId="71" fillId="35" borderId="0" applyNumberFormat="0" applyBorder="0" applyAlignment="0" applyProtection="0"/>
    <xf numFmtId="0" fontId="37" fillId="7" borderId="0" applyNumberFormat="0" applyBorder="0" applyAlignment="0" applyProtection="0"/>
    <xf numFmtId="0" fontId="71" fillId="36" borderId="0" applyNumberFormat="0" applyBorder="0" applyAlignment="0" applyProtection="0"/>
    <xf numFmtId="0" fontId="37" fillId="8" borderId="0" applyNumberFormat="0" applyBorder="0" applyAlignment="0" applyProtection="0"/>
    <xf numFmtId="0" fontId="71" fillId="37" borderId="0" applyNumberFormat="0" applyBorder="0" applyAlignment="0" applyProtection="0"/>
    <xf numFmtId="0" fontId="37" fillId="9" borderId="0" applyNumberFormat="0" applyBorder="0" applyAlignment="0" applyProtection="0"/>
    <xf numFmtId="0" fontId="71" fillId="38" borderId="0" applyNumberFormat="0" applyBorder="0" applyAlignment="0" applyProtection="0"/>
    <xf numFmtId="0" fontId="37" fillId="10" borderId="0" applyNumberFormat="0" applyBorder="0" applyAlignment="0" applyProtection="0"/>
    <xf numFmtId="0" fontId="71" fillId="39" borderId="0" applyNumberFormat="0" applyBorder="0" applyAlignment="0" applyProtection="0"/>
    <xf numFmtId="0" fontId="37" fillId="5" borderId="0" applyNumberFormat="0" applyBorder="0" applyAlignment="0" applyProtection="0"/>
    <xf numFmtId="0" fontId="71" fillId="40" borderId="0" applyNumberFormat="0" applyBorder="0" applyAlignment="0" applyProtection="0"/>
    <xf numFmtId="0" fontId="37" fillId="8" borderId="0" applyNumberFormat="0" applyBorder="0" applyAlignment="0" applyProtection="0"/>
    <xf numFmtId="0" fontId="71" fillId="41" borderId="0" applyNumberFormat="0" applyBorder="0" applyAlignment="0" applyProtection="0"/>
    <xf numFmtId="0" fontId="37" fillId="11" borderId="0" applyNumberFormat="0" applyBorder="0" applyAlignment="0" applyProtection="0"/>
    <xf numFmtId="0" fontId="71" fillId="42" borderId="0" applyNumberFormat="0" applyBorder="0" applyAlignment="0" applyProtection="0"/>
    <xf numFmtId="0" fontId="38" fillId="12" borderId="0" applyNumberFormat="0" applyBorder="0" applyAlignment="0" applyProtection="0"/>
    <xf numFmtId="0" fontId="72" fillId="43" borderId="0" applyNumberFormat="0" applyBorder="0" applyAlignment="0" applyProtection="0"/>
    <xf numFmtId="0" fontId="38" fillId="9" borderId="0" applyNumberFormat="0" applyBorder="0" applyAlignment="0" applyProtection="0"/>
    <xf numFmtId="0" fontId="72" fillId="44" borderId="0" applyNumberFormat="0" applyBorder="0" applyAlignment="0" applyProtection="0"/>
    <xf numFmtId="0" fontId="38" fillId="10" borderId="0" applyNumberFormat="0" applyBorder="0" applyAlignment="0" applyProtection="0"/>
    <xf numFmtId="0" fontId="72" fillId="45" borderId="0" applyNumberFormat="0" applyBorder="0" applyAlignment="0" applyProtection="0"/>
    <xf numFmtId="0" fontId="38" fillId="13" borderId="0" applyNumberFormat="0" applyBorder="0" applyAlignment="0" applyProtection="0"/>
    <xf numFmtId="0" fontId="72" fillId="46" borderId="0" applyNumberFormat="0" applyBorder="0" applyAlignment="0" applyProtection="0"/>
    <xf numFmtId="0" fontId="38" fillId="14" borderId="0" applyNumberFormat="0" applyBorder="0" applyAlignment="0" applyProtection="0"/>
    <xf numFmtId="0" fontId="72" fillId="47" borderId="0" applyNumberFormat="0" applyBorder="0" applyAlignment="0" applyProtection="0"/>
    <xf numFmtId="0" fontId="38" fillId="15" borderId="0" applyNumberFormat="0" applyBorder="0" applyAlignment="0" applyProtection="0"/>
    <xf numFmtId="0" fontId="72" fillId="48" borderId="0" applyNumberFormat="0" applyBorder="0" applyAlignment="0" applyProtection="0"/>
    <xf numFmtId="0" fontId="73" fillId="0" borderId="0"/>
    <xf numFmtId="0" fontId="73" fillId="0" borderId="0"/>
    <xf numFmtId="4" fontId="74" fillId="49" borderId="57">
      <alignment horizontal="right" shrinkToFit="1"/>
    </xf>
    <xf numFmtId="4" fontId="74" fillId="49" borderId="57">
      <alignment horizontal="right" shrinkToFit="1"/>
    </xf>
    <xf numFmtId="4" fontId="75" fillId="0" borderId="58">
      <alignment horizontal="right" vertical="top" shrinkToFit="1"/>
    </xf>
    <xf numFmtId="4" fontId="76" fillId="50" borderId="59">
      <alignment horizontal="right" vertical="top" wrapText="1" shrinkToFit="1"/>
    </xf>
    <xf numFmtId="1" fontId="77" fillId="0" borderId="59">
      <alignment horizontal="left" vertical="top" wrapText="1"/>
    </xf>
    <xf numFmtId="4" fontId="76" fillId="51" borderId="59">
      <alignment horizontal="right" vertical="top" wrapText="1" shrinkToFit="1"/>
    </xf>
    <xf numFmtId="1" fontId="78" fillId="0" borderId="59">
      <alignment horizontal="left" vertical="top" wrapText="1"/>
    </xf>
    <xf numFmtId="4" fontId="79" fillId="52" borderId="59">
      <alignment horizontal="right" vertical="top" wrapText="1" shrinkToFit="1"/>
    </xf>
    <xf numFmtId="4" fontId="80" fillId="52" borderId="59">
      <alignment horizontal="right" vertical="top" wrapText="1" shrinkToFit="1"/>
    </xf>
    <xf numFmtId="4" fontId="81" fillId="0" borderId="59">
      <alignment horizontal="right" vertical="top" wrapText="1" shrinkToFit="1"/>
    </xf>
    <xf numFmtId="0" fontId="82" fillId="0" borderId="0"/>
    <xf numFmtId="0" fontId="82" fillId="0" borderId="0"/>
    <xf numFmtId="0" fontId="73" fillId="0" borderId="0"/>
    <xf numFmtId="0" fontId="83" fillId="53" borderId="0"/>
    <xf numFmtId="0" fontId="81" fillId="53" borderId="0"/>
    <xf numFmtId="0" fontId="84" fillId="0" borderId="0"/>
    <xf numFmtId="0" fontId="85" fillId="0" borderId="0"/>
    <xf numFmtId="0" fontId="83" fillId="0" borderId="0"/>
    <xf numFmtId="0" fontId="86" fillId="0" borderId="0">
      <alignment horizontal="center"/>
    </xf>
    <xf numFmtId="0" fontId="87" fillId="0" borderId="0">
      <alignment horizontal="center"/>
    </xf>
    <xf numFmtId="0" fontId="88" fillId="0" borderId="0">
      <alignment horizontal="center"/>
    </xf>
    <xf numFmtId="0" fontId="89" fillId="0" borderId="0">
      <alignment horizontal="center"/>
    </xf>
    <xf numFmtId="0" fontId="88" fillId="0" borderId="0">
      <alignment horizontal="center"/>
    </xf>
    <xf numFmtId="0" fontId="90" fillId="0" borderId="0">
      <alignment horizontal="center"/>
    </xf>
    <xf numFmtId="0" fontId="90" fillId="0" borderId="0">
      <alignment horizontal="center"/>
    </xf>
    <xf numFmtId="0" fontId="81" fillId="0" borderId="60"/>
    <xf numFmtId="0" fontId="83" fillId="53" borderId="60"/>
    <xf numFmtId="0" fontId="91" fillId="0" borderId="61">
      <alignment horizontal="center" vertical="center" wrapText="1"/>
    </xf>
    <xf numFmtId="0" fontId="90" fillId="0" borderId="60">
      <alignment horizontal="center"/>
    </xf>
    <xf numFmtId="0" fontId="92" fillId="0" borderId="61">
      <alignment horizontal="center" vertical="center"/>
    </xf>
    <xf numFmtId="0" fontId="81" fillId="53" borderId="62"/>
    <xf numFmtId="0" fontId="92" fillId="0" borderId="61">
      <alignment horizontal="center" vertical="center" wrapText="1"/>
    </xf>
    <xf numFmtId="0" fontId="83" fillId="53" borderId="62"/>
    <xf numFmtId="0" fontId="81" fillId="53" borderId="63"/>
    <xf numFmtId="0" fontId="83" fillId="53" borderId="64"/>
    <xf numFmtId="0" fontId="83" fillId="53" borderId="63"/>
    <xf numFmtId="1" fontId="81" fillId="0" borderId="59">
      <alignment horizontal="center" vertical="top"/>
    </xf>
    <xf numFmtId="0" fontId="93" fillId="0" borderId="59">
      <alignment horizontal="left" vertical="top" wrapText="1"/>
    </xf>
    <xf numFmtId="1" fontId="94" fillId="0" borderId="59">
      <alignment horizontal="left" vertical="top" wrapText="1"/>
    </xf>
    <xf numFmtId="0" fontId="81" fillId="53" borderId="65"/>
    <xf numFmtId="49" fontId="94" fillId="0" borderId="59">
      <alignment horizontal="left" vertical="top" wrapText="1"/>
    </xf>
    <xf numFmtId="0" fontId="83" fillId="53" borderId="65"/>
    <xf numFmtId="0" fontId="83" fillId="53" borderId="65"/>
    <xf numFmtId="0" fontId="81" fillId="53" borderId="0">
      <alignment horizontal="left"/>
    </xf>
    <xf numFmtId="0" fontId="83" fillId="53" borderId="63"/>
    <xf numFmtId="1" fontId="93" fillId="0" borderId="66">
      <alignment horizontal="left" vertical="top" wrapText="1"/>
    </xf>
    <xf numFmtId="1" fontId="78" fillId="0" borderId="59">
      <alignment horizontal="left" vertical="top"/>
    </xf>
    <xf numFmtId="0" fontId="93" fillId="0" borderId="67">
      <alignment horizontal="left" vertical="top" wrapText="1"/>
    </xf>
    <xf numFmtId="49" fontId="94" fillId="0" borderId="59">
      <alignment horizontal="left" vertical="top" wrapText="1"/>
    </xf>
    <xf numFmtId="1" fontId="93" fillId="0" borderId="65">
      <alignment horizontal="left" vertical="top" wrapText="1"/>
    </xf>
    <xf numFmtId="0" fontId="81" fillId="53" borderId="68"/>
    <xf numFmtId="49" fontId="93" fillId="0" borderId="68">
      <alignment vertical="top" wrapText="1"/>
    </xf>
    <xf numFmtId="0" fontId="83" fillId="53" borderId="68"/>
    <xf numFmtId="1" fontId="93" fillId="0" borderId="0">
      <alignment horizontal="left" vertical="top" wrapText="1"/>
    </xf>
    <xf numFmtId="1" fontId="77" fillId="0" borderId="59">
      <alignment horizontal="left" vertical="top"/>
    </xf>
    <xf numFmtId="0" fontId="95" fillId="0" borderId="0"/>
    <xf numFmtId="0" fontId="95" fillId="0" borderId="0"/>
    <xf numFmtId="1" fontId="91" fillId="0" borderId="59">
      <alignment horizontal="left" vertical="top"/>
    </xf>
    <xf numFmtId="0" fontId="83" fillId="0" borderId="60"/>
    <xf numFmtId="0" fontId="96" fillId="0" borderId="0"/>
    <xf numFmtId="1" fontId="91" fillId="0" borderId="65">
      <alignment horizontal="left" vertical="top"/>
    </xf>
    <xf numFmtId="0" fontId="92" fillId="0" borderId="69">
      <alignment horizontal="center" vertical="center" wrapText="1"/>
    </xf>
    <xf numFmtId="0" fontId="94" fillId="0" borderId="0"/>
    <xf numFmtId="0" fontId="83" fillId="0" borderId="0"/>
    <xf numFmtId="0" fontId="94" fillId="0" borderId="59">
      <alignment horizontal="left" vertical="top" wrapText="1"/>
    </xf>
    <xf numFmtId="0" fontId="92" fillId="0" borderId="69">
      <alignment horizontal="center" vertical="center" wrapText="1"/>
    </xf>
    <xf numFmtId="0" fontId="81" fillId="0" borderId="0"/>
    <xf numFmtId="0" fontId="83" fillId="0" borderId="66">
      <alignment vertical="top"/>
    </xf>
    <xf numFmtId="4" fontId="93" fillId="52" borderId="59">
      <alignment horizontal="right" vertical="top" shrinkToFit="1"/>
    </xf>
    <xf numFmtId="0" fontId="94" fillId="0" borderId="59">
      <alignment horizontal="left" vertical="top" wrapText="1"/>
    </xf>
    <xf numFmtId="0" fontId="86" fillId="0" borderId="0">
      <alignment horizontal="center"/>
    </xf>
    <xf numFmtId="0" fontId="83" fillId="0" borderId="59">
      <alignment vertical="top"/>
    </xf>
    <xf numFmtId="4" fontId="94" fillId="0" borderId="59">
      <alignment horizontal="center" vertical="top"/>
    </xf>
    <xf numFmtId="0" fontId="83" fillId="0" borderId="65">
      <alignment vertical="top"/>
    </xf>
    <xf numFmtId="0" fontId="91" fillId="0" borderId="69">
      <alignment horizontal="center" vertical="center" wrapText="1"/>
    </xf>
    <xf numFmtId="4" fontId="94" fillId="0" borderId="59">
      <alignment horizontal="center" vertical="top"/>
    </xf>
    <xf numFmtId="4" fontId="94" fillId="0" borderId="59">
      <alignment horizontal="right" vertical="top" shrinkToFit="1"/>
    </xf>
    <xf numFmtId="0" fontId="83" fillId="0" borderId="0">
      <alignment vertical="top"/>
    </xf>
    <xf numFmtId="1" fontId="97" fillId="0" borderId="59">
      <alignment horizontal="center" vertical="top"/>
    </xf>
    <xf numFmtId="4" fontId="93" fillId="52" borderId="59">
      <alignment horizontal="right" vertical="top" shrinkToFit="1"/>
    </xf>
    <xf numFmtId="168" fontId="98" fillId="52" borderId="59">
      <alignment horizontal="right" vertical="top" shrinkToFit="1"/>
    </xf>
    <xf numFmtId="0" fontId="83" fillId="0" borderId="0">
      <alignment vertical="top"/>
    </xf>
    <xf numFmtId="0" fontId="83" fillId="0" borderId="59">
      <alignment vertical="top"/>
    </xf>
    <xf numFmtId="0" fontId="83" fillId="53" borderId="0"/>
    <xf numFmtId="0" fontId="83" fillId="53" borderId="68"/>
    <xf numFmtId="168" fontId="95" fillId="0" borderId="59">
      <alignment horizontal="right" vertical="top" shrinkToFit="1"/>
    </xf>
    <xf numFmtId="0" fontId="90" fillId="0" borderId="0">
      <alignment horizontal="center"/>
    </xf>
    <xf numFmtId="4" fontId="81" fillId="0" borderId="59">
      <alignment horizontal="right" vertical="top" shrinkToFit="1"/>
    </xf>
    <xf numFmtId="4" fontId="94" fillId="0" borderId="59">
      <alignment horizontal="right" vertical="top" shrinkToFit="1"/>
    </xf>
    <xf numFmtId="0" fontId="92" fillId="0" borderId="70">
      <alignment horizontal="center" vertical="center" wrapText="1"/>
    </xf>
    <xf numFmtId="4" fontId="81" fillId="0" borderId="59">
      <alignment horizontal="right" vertical="top" shrinkToFit="1"/>
    </xf>
    <xf numFmtId="4" fontId="80" fillId="52" borderId="59">
      <alignment horizontal="right" vertical="top" shrinkToFit="1"/>
    </xf>
    <xf numFmtId="168" fontId="95" fillId="0" borderId="59">
      <alignment horizontal="right" vertical="top" shrinkToFit="1"/>
    </xf>
    <xf numFmtId="4" fontId="79" fillId="52" borderId="59">
      <alignment horizontal="right" vertical="top" shrinkToFit="1"/>
    </xf>
    <xf numFmtId="4" fontId="76" fillId="51" borderId="59">
      <alignment horizontal="right" vertical="top" shrinkToFit="1"/>
    </xf>
    <xf numFmtId="168" fontId="98" fillId="52" borderId="59">
      <alignment horizontal="right" vertical="top" shrinkToFit="1"/>
    </xf>
    <xf numFmtId="170" fontId="81" fillId="0" borderId="59">
      <alignment horizontal="center" vertical="top" wrapText="1"/>
    </xf>
    <xf numFmtId="4" fontId="76" fillId="50" borderId="59">
      <alignment horizontal="right" vertical="top" shrinkToFit="1"/>
    </xf>
    <xf numFmtId="0" fontId="92" fillId="0" borderId="70">
      <alignment horizontal="center" vertical="center" wrapText="1"/>
    </xf>
    <xf numFmtId="4" fontId="93" fillId="0" borderId="65">
      <alignment horizontal="right" vertical="top" shrinkToFit="1"/>
    </xf>
    <xf numFmtId="4" fontId="77" fillId="0" borderId="65">
      <alignment horizontal="right" vertical="top" shrinkToFit="1"/>
    </xf>
    <xf numFmtId="0" fontId="92" fillId="0" borderId="61">
      <alignment horizontal="center" vertical="center" wrapText="1"/>
    </xf>
    <xf numFmtId="4" fontId="93" fillId="0" borderId="0">
      <alignment horizontal="right" vertical="top" shrinkToFit="1"/>
    </xf>
    <xf numFmtId="0" fontId="83" fillId="53" borderId="62"/>
    <xf numFmtId="4" fontId="77" fillId="52" borderId="59">
      <alignment horizontal="right" vertical="top" shrinkToFit="1"/>
    </xf>
    <xf numFmtId="0" fontId="81" fillId="0" borderId="65">
      <alignment vertical="top"/>
    </xf>
    <xf numFmtId="168" fontId="81" fillId="0" borderId="59">
      <alignment horizontal="right" vertical="top" shrinkToFit="1"/>
    </xf>
    <xf numFmtId="168" fontId="79" fillId="52" borderId="59">
      <alignment horizontal="right" vertical="top" shrinkToFit="1"/>
    </xf>
    <xf numFmtId="0" fontId="92" fillId="0" borderId="70">
      <alignment horizontal="center" vertical="center" wrapText="1"/>
    </xf>
    <xf numFmtId="0" fontId="92" fillId="0" borderId="61">
      <alignment horizontal="center" vertical="center" wrapText="1"/>
    </xf>
    <xf numFmtId="0" fontId="38" fillId="18" borderId="0" applyNumberFormat="0" applyBorder="0" applyAlignment="0" applyProtection="0"/>
    <xf numFmtId="0" fontId="72" fillId="54" borderId="0" applyNumberFormat="0" applyBorder="0" applyAlignment="0" applyProtection="0"/>
    <xf numFmtId="0" fontId="38" fillId="19" borderId="0" applyNumberFormat="0" applyBorder="0" applyAlignment="0" applyProtection="0"/>
    <xf numFmtId="0" fontId="72" fillId="55" borderId="0" applyNumberFormat="0" applyBorder="0" applyAlignment="0" applyProtection="0"/>
    <xf numFmtId="0" fontId="38" fillId="20" borderId="0" applyNumberFormat="0" applyBorder="0" applyAlignment="0" applyProtection="0"/>
    <xf numFmtId="0" fontId="72" fillId="56" borderId="0" applyNumberFormat="0" applyBorder="0" applyAlignment="0" applyProtection="0"/>
    <xf numFmtId="0" fontId="38" fillId="13" borderId="0" applyNumberFormat="0" applyBorder="0" applyAlignment="0" applyProtection="0"/>
    <xf numFmtId="0" fontId="72" fillId="57" borderId="0" applyNumberFormat="0" applyBorder="0" applyAlignment="0" applyProtection="0"/>
    <xf numFmtId="0" fontId="38" fillId="14" borderId="0" applyNumberFormat="0" applyBorder="0" applyAlignment="0" applyProtection="0"/>
    <xf numFmtId="0" fontId="72" fillId="58" borderId="0" applyNumberFormat="0" applyBorder="0" applyAlignment="0" applyProtection="0"/>
    <xf numFmtId="0" fontId="38" fillId="21" borderId="0" applyNumberFormat="0" applyBorder="0" applyAlignment="0" applyProtection="0"/>
    <xf numFmtId="0" fontId="72" fillId="59" borderId="0" applyNumberFormat="0" applyBorder="0" applyAlignment="0" applyProtection="0"/>
    <xf numFmtId="0" fontId="39" fillId="7" borderId="2" applyNumberFormat="0" applyAlignment="0" applyProtection="0"/>
    <xf numFmtId="0" fontId="99" fillId="60" borderId="71" applyNumberFormat="0" applyAlignment="0" applyProtection="0"/>
    <xf numFmtId="0" fontId="40" fillId="17" borderId="3" applyNumberFormat="0" applyAlignment="0" applyProtection="0"/>
    <xf numFmtId="0" fontId="100" fillId="61" borderId="72" applyNumberFormat="0" applyAlignment="0" applyProtection="0"/>
    <xf numFmtId="0" fontId="41" fillId="17" borderId="2" applyNumberFormat="0" applyAlignment="0" applyProtection="0"/>
    <xf numFmtId="0" fontId="101" fillId="61" borderId="71" applyNumberFormat="0" applyAlignment="0" applyProtection="0"/>
    <xf numFmtId="0" fontId="42" fillId="0" borderId="4" applyNumberFormat="0" applyFill="0" applyAlignment="0" applyProtection="0"/>
    <xf numFmtId="0" fontId="102" fillId="0" borderId="73" applyNumberFormat="0" applyFill="0" applyAlignment="0" applyProtection="0"/>
    <xf numFmtId="0" fontId="43" fillId="0" borderId="5" applyNumberFormat="0" applyFill="0" applyAlignment="0" applyProtection="0"/>
    <xf numFmtId="0" fontId="103" fillId="0" borderId="74" applyNumberFormat="0" applyFill="0" applyAlignment="0" applyProtection="0"/>
    <xf numFmtId="0" fontId="44" fillId="0" borderId="6" applyNumberFormat="0" applyFill="0" applyAlignment="0" applyProtection="0"/>
    <xf numFmtId="0" fontId="104" fillId="0" borderId="75" applyNumberFormat="0" applyFill="0" applyAlignment="0" applyProtection="0"/>
    <xf numFmtId="0" fontId="44" fillId="0" borderId="0" applyNumberFormat="0" applyFill="0" applyBorder="0" applyAlignment="0" applyProtection="0"/>
    <xf numFmtId="0" fontId="104" fillId="0" borderId="0" applyNumberFormat="0" applyFill="0" applyBorder="0" applyAlignment="0" applyProtection="0"/>
    <xf numFmtId="0" fontId="45" fillId="0" borderId="7" applyNumberFormat="0" applyFill="0" applyAlignment="0" applyProtection="0"/>
    <xf numFmtId="0" fontId="105" fillId="0" borderId="76" applyNumberFormat="0" applyFill="0" applyAlignment="0" applyProtection="0"/>
    <xf numFmtId="0" fontId="46" fillId="22" borderId="8" applyNumberFormat="0" applyAlignment="0" applyProtection="0"/>
    <xf numFmtId="0" fontId="106" fillId="62" borderId="77" applyNumberFormat="0" applyAlignment="0" applyProtection="0"/>
    <xf numFmtId="0" fontId="47" fillId="0" borderId="0" applyNumberFormat="0" applyFill="0" applyBorder="0" applyAlignment="0" applyProtection="0"/>
    <xf numFmtId="0" fontId="107" fillId="0" borderId="0" applyNumberFormat="0" applyFill="0" applyBorder="0" applyAlignment="0" applyProtection="0"/>
    <xf numFmtId="0" fontId="48" fillId="16" borderId="0" applyNumberFormat="0" applyBorder="0" applyAlignment="0" applyProtection="0"/>
    <xf numFmtId="0" fontId="108" fillId="63" borderId="0" applyNumberFormat="0" applyBorder="0" applyAlignment="0" applyProtection="0"/>
    <xf numFmtId="0" fontId="65" fillId="23" borderId="0"/>
    <xf numFmtId="0" fontId="34" fillId="23" borderId="0"/>
    <xf numFmtId="0" fontId="67" fillId="23" borderId="0"/>
    <xf numFmtId="0" fontId="69" fillId="0" borderId="0"/>
    <xf numFmtId="0" fontId="1" fillId="0" borderId="0"/>
    <xf numFmtId="0" fontId="1" fillId="0" borderId="0"/>
    <xf numFmtId="0" fontId="2" fillId="0" borderId="0"/>
    <xf numFmtId="0" fontId="1" fillId="0" borderId="0"/>
    <xf numFmtId="0" fontId="57" fillId="23" borderId="0"/>
    <xf numFmtId="0" fontId="1" fillId="0" borderId="0"/>
    <xf numFmtId="0" fontId="1" fillId="0" borderId="0"/>
    <xf numFmtId="0" fontId="1" fillId="0" borderId="0"/>
    <xf numFmtId="0" fontId="49" fillId="3" borderId="0" applyNumberFormat="0" applyBorder="0" applyAlignment="0" applyProtection="0"/>
    <xf numFmtId="0" fontId="109" fillId="64" borderId="0" applyNumberFormat="0" applyBorder="0" applyAlignment="0" applyProtection="0"/>
    <xf numFmtId="0" fontId="50" fillId="0" borderId="0" applyNumberFormat="0" applyFill="0" applyBorder="0" applyAlignment="0" applyProtection="0"/>
    <xf numFmtId="0" fontId="110" fillId="0" borderId="0" applyNumberFormat="0" applyFill="0" applyBorder="0" applyAlignment="0" applyProtection="0"/>
    <xf numFmtId="0" fontId="1" fillId="24" borderId="9" applyNumberFormat="0" applyFont="0" applyAlignment="0" applyProtection="0"/>
    <xf numFmtId="0" fontId="71" fillId="65" borderId="78" applyNumberFormat="0" applyFont="0" applyAlignment="0" applyProtection="0"/>
    <xf numFmtId="0" fontId="51" fillId="0" borderId="10" applyNumberFormat="0" applyFill="0" applyAlignment="0" applyProtection="0"/>
    <xf numFmtId="0" fontId="111" fillId="0" borderId="79" applyNumberFormat="0" applyFill="0" applyAlignment="0" applyProtection="0"/>
    <xf numFmtId="0" fontId="52" fillId="0" borderId="0" applyNumberFormat="0" applyFill="0" applyBorder="0" applyAlignment="0" applyProtection="0"/>
    <xf numFmtId="0" fontId="112" fillId="0" borderId="0" applyNumberFormat="0" applyFill="0" applyBorder="0" applyAlignment="0" applyProtection="0"/>
    <xf numFmtId="164" fontId="1" fillId="0" borderId="0" applyFont="0" applyFill="0" applyBorder="0" applyAlignment="0" applyProtection="0"/>
    <xf numFmtId="0" fontId="53" fillId="4" borderId="0" applyNumberFormat="0" applyBorder="0" applyAlignment="0" applyProtection="0"/>
    <xf numFmtId="0" fontId="113" fillId="66" borderId="0" applyNumberFormat="0" applyBorder="0" applyAlignment="0" applyProtection="0"/>
    <xf numFmtId="4" fontId="75" fillId="0" borderId="58">
      <alignment horizontal="right" vertical="top" shrinkToFit="1"/>
    </xf>
    <xf numFmtId="4" fontId="135" fillId="76" borderId="58">
      <alignment horizontal="right" vertical="top" shrinkToFit="1"/>
    </xf>
    <xf numFmtId="4" fontId="140" fillId="49" borderId="57">
      <alignment horizontal="right" shrinkToFit="1"/>
    </xf>
    <xf numFmtId="4" fontId="145" fillId="0" borderId="59">
      <alignment horizontal="right" vertical="top" shrinkToFit="1"/>
    </xf>
  </cellStyleXfs>
  <cellXfs count="1938">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5" xfId="0" applyFont="1" applyFill="1" applyBorder="1"/>
    <xf numFmtId="164" fontId="9" fillId="0" borderId="16" xfId="0" applyNumberFormat="1" applyFont="1" applyFill="1" applyBorder="1"/>
    <xf numFmtId="164" fontId="9" fillId="0" borderId="17" xfId="0" applyNumberFormat="1" applyFont="1" applyFill="1" applyBorder="1"/>
    <xf numFmtId="164" fontId="9" fillId="0" borderId="17" xfId="205" applyNumberFormat="1" applyFont="1" applyFill="1" applyBorder="1" applyAlignment="1">
      <alignment horizontal="center"/>
    </xf>
    <xf numFmtId="164" fontId="9" fillId="0" borderId="16" xfId="205" applyNumberFormat="1" applyFont="1" applyFill="1" applyBorder="1" applyAlignment="1">
      <alignment horizontal="center"/>
    </xf>
    <xf numFmtId="164" fontId="9" fillId="0" borderId="18" xfId="205" applyNumberFormat="1" applyFont="1" applyFill="1" applyBorder="1" applyAlignment="1">
      <alignment horizontal="center"/>
    </xf>
    <xf numFmtId="164" fontId="9" fillId="0" borderId="19" xfId="205" applyNumberFormat="1" applyFont="1" applyFill="1" applyBorder="1" applyAlignment="1">
      <alignment horizontal="center"/>
    </xf>
    <xf numFmtId="164" fontId="9" fillId="0" borderId="19" xfId="0" applyNumberFormat="1" applyFont="1" applyFill="1" applyBorder="1"/>
    <xf numFmtId="0" fontId="8" fillId="0" borderId="20" xfId="0" applyFont="1" applyFill="1" applyBorder="1"/>
    <xf numFmtId="164" fontId="9" fillId="0" borderId="21" xfId="0" applyNumberFormat="1" applyFont="1" applyFill="1" applyBorder="1"/>
    <xf numFmtId="164" fontId="9" fillId="0" borderId="22" xfId="0" applyNumberFormat="1" applyFont="1" applyFill="1" applyBorder="1"/>
    <xf numFmtId="164" fontId="9" fillId="0" borderId="22" xfId="205" applyNumberFormat="1" applyFont="1" applyFill="1" applyBorder="1" applyAlignment="1">
      <alignment horizontal="center"/>
    </xf>
    <xf numFmtId="164" fontId="9" fillId="0" borderId="21" xfId="205" applyNumberFormat="1" applyFont="1" applyFill="1" applyBorder="1" applyAlignment="1">
      <alignment horizontal="center"/>
    </xf>
    <xf numFmtId="164" fontId="9" fillId="0" borderId="20" xfId="205" applyNumberFormat="1" applyFont="1" applyFill="1" applyBorder="1" applyAlignment="1">
      <alignment horizontal="center"/>
    </xf>
    <xf numFmtId="164" fontId="9" fillId="0" borderId="23" xfId="205" applyNumberFormat="1" applyFont="1" applyFill="1" applyBorder="1" applyAlignment="1">
      <alignment horizontal="center"/>
    </xf>
    <xf numFmtId="164" fontId="9" fillId="0" borderId="23" xfId="0" applyNumberFormat="1" applyFont="1" applyFill="1" applyBorder="1"/>
    <xf numFmtId="0" fontId="8" fillId="0" borderId="13" xfId="0" applyFont="1" applyFill="1" applyBorder="1"/>
    <xf numFmtId="0" fontId="8" fillId="0" borderId="24" xfId="0" applyFont="1" applyFill="1" applyBorder="1"/>
    <xf numFmtId="164" fontId="9" fillId="0" borderId="25" xfId="0" applyNumberFormat="1" applyFont="1" applyFill="1" applyBorder="1"/>
    <xf numFmtId="164" fontId="9" fillId="0" borderId="26" xfId="0" applyNumberFormat="1" applyFont="1" applyFill="1" applyBorder="1"/>
    <xf numFmtId="164" fontId="9" fillId="0" borderId="26" xfId="205" applyNumberFormat="1" applyFont="1" applyFill="1" applyBorder="1" applyAlignment="1">
      <alignment horizontal="center"/>
    </xf>
    <xf numFmtId="164" fontId="9" fillId="0" borderId="25" xfId="205" applyNumberFormat="1" applyFont="1" applyFill="1" applyBorder="1" applyAlignment="1">
      <alignment horizontal="center"/>
    </xf>
    <xf numFmtId="164" fontId="9" fillId="0" borderId="27" xfId="205" applyNumberFormat="1" applyFont="1" applyFill="1" applyBorder="1" applyAlignment="1">
      <alignment horizontal="center"/>
    </xf>
    <xf numFmtId="164" fontId="9" fillId="0" borderId="28" xfId="205" applyNumberFormat="1" applyFont="1" applyFill="1" applyBorder="1" applyAlignment="1">
      <alignment horizontal="center"/>
    </xf>
    <xf numFmtId="164" fontId="9" fillId="0" borderId="28" xfId="0" applyNumberFormat="1" applyFont="1" applyFill="1" applyBorder="1"/>
    <xf numFmtId="0" fontId="8" fillId="0" borderId="14" xfId="0" applyFont="1" applyFill="1" applyBorder="1"/>
    <xf numFmtId="164" fontId="8" fillId="0" borderId="29" xfId="205" applyNumberFormat="1" applyFont="1" applyFill="1" applyBorder="1" applyAlignment="1"/>
    <xf numFmtId="164" fontId="8" fillId="0" borderId="30" xfId="205" applyNumberFormat="1" applyFont="1" applyFill="1" applyBorder="1" applyAlignment="1"/>
    <xf numFmtId="164" fontId="8" fillId="0" borderId="0" xfId="205" applyNumberFormat="1" applyFont="1" applyFill="1" applyBorder="1" applyAlignment="1"/>
    <xf numFmtId="164" fontId="8" fillId="0" borderId="31" xfId="205" applyNumberFormat="1" applyFont="1" applyFill="1" applyBorder="1" applyAlignment="1"/>
    <xf numFmtId="0" fontId="8" fillId="0" borderId="31" xfId="0" applyFont="1" applyFill="1" applyBorder="1"/>
    <xf numFmtId="0" fontId="8" fillId="0" borderId="0" xfId="0" applyFont="1" applyFill="1" applyBorder="1"/>
    <xf numFmtId="165" fontId="8" fillId="0" borderId="17" xfId="205" applyNumberFormat="1" applyFont="1" applyFill="1" applyBorder="1" applyAlignment="1"/>
    <xf numFmtId="165" fontId="8" fillId="0" borderId="16" xfId="205" applyNumberFormat="1" applyFont="1" applyFill="1" applyBorder="1" applyAlignment="1"/>
    <xf numFmtId="165" fontId="8" fillId="0" borderId="32" xfId="205" applyNumberFormat="1" applyFont="1" applyFill="1" applyBorder="1" applyAlignment="1"/>
    <xf numFmtId="165" fontId="8" fillId="0" borderId="33" xfId="205" applyNumberFormat="1" applyFont="1" applyFill="1" applyBorder="1" applyAlignment="1"/>
    <xf numFmtId="165" fontId="8" fillId="0" borderId="0" xfId="205" applyNumberFormat="1" applyFont="1" applyFill="1" applyBorder="1" applyAlignment="1"/>
    <xf numFmtId="0" fontId="8" fillId="0" borderId="21" xfId="0" applyFont="1" applyFill="1" applyBorder="1"/>
    <xf numFmtId="164" fontId="8" fillId="0" borderId="11" xfId="205" applyNumberFormat="1" applyFont="1" applyFill="1" applyBorder="1" applyAlignment="1"/>
    <xf numFmtId="164" fontId="8" fillId="0" borderId="12" xfId="205" applyNumberFormat="1" applyFont="1" applyFill="1" applyBorder="1" applyAlignment="1"/>
    <xf numFmtId="0" fontId="8" fillId="0" borderId="11" xfId="0" applyFont="1" applyFill="1" applyBorder="1"/>
    <xf numFmtId="0" fontId="8" fillId="0" borderId="12" xfId="0" applyFont="1" applyFill="1" applyBorder="1"/>
    <xf numFmtId="0" fontId="10" fillId="0" borderId="12" xfId="0" applyFont="1" applyFill="1" applyBorder="1"/>
    <xf numFmtId="0" fontId="10" fillId="0" borderId="11" xfId="0" applyFont="1" applyFill="1" applyBorder="1"/>
    <xf numFmtId="0" fontId="8" fillId="0" borderId="29" xfId="0" applyFont="1" applyFill="1" applyBorder="1"/>
    <xf numFmtId="0" fontId="8" fillId="0" borderId="30" xfId="0" applyFont="1" applyFill="1" applyBorder="1"/>
    <xf numFmtId="0" fontId="10" fillId="0" borderId="30" xfId="0" applyFont="1" applyFill="1" applyBorder="1"/>
    <xf numFmtId="0" fontId="10" fillId="0" borderId="29" xfId="0" applyFont="1" applyFill="1" applyBorder="1"/>
    <xf numFmtId="164" fontId="8" fillId="0" borderId="14" xfId="205" applyNumberFormat="1" applyFont="1" applyFill="1" applyBorder="1" applyAlignment="1">
      <alignment horizontal="center"/>
    </xf>
    <xf numFmtId="164" fontId="8" fillId="0" borderId="34" xfId="205" applyNumberFormat="1" applyFont="1" applyFill="1" applyBorder="1" applyAlignment="1">
      <alignment horizontal="center"/>
    </xf>
    <xf numFmtId="164" fontId="11" fillId="0" borderId="0" xfId="0" applyNumberFormat="1" applyFont="1"/>
    <xf numFmtId="0" fontId="7" fillId="0" borderId="22" xfId="0" applyFont="1" applyBorder="1" applyAlignment="1"/>
    <xf numFmtId="0" fontId="0" fillId="0" borderId="22" xfId="0" applyBorder="1"/>
    <xf numFmtId="0" fontId="7" fillId="0" borderId="22" xfId="0" applyFont="1" applyBorder="1" applyAlignment="1">
      <alignment wrapText="1"/>
    </xf>
    <xf numFmtId="164" fontId="12" fillId="0" borderId="22" xfId="0" applyNumberFormat="1" applyFont="1" applyFill="1" applyBorder="1"/>
    <xf numFmtId="164" fontId="12" fillId="0" borderId="22" xfId="0" applyNumberFormat="1" applyFont="1" applyBorder="1"/>
    <xf numFmtId="0" fontId="13" fillId="0" borderId="22" xfId="0" applyFont="1" applyBorder="1"/>
    <xf numFmtId="0" fontId="7" fillId="0" borderId="35" xfId="0" applyFont="1" applyBorder="1" applyAlignment="1">
      <alignment wrapText="1"/>
    </xf>
    <xf numFmtId="164" fontId="12" fillId="0" borderId="35" xfId="0" applyNumberFormat="1" applyFont="1" applyFill="1" applyBorder="1"/>
    <xf numFmtId="0" fontId="0" fillId="0" borderId="35" xfId="0" applyBorder="1"/>
    <xf numFmtId="0" fontId="7" fillId="0" borderId="32" xfId="0" applyFont="1" applyBorder="1" applyAlignment="1">
      <alignment wrapText="1"/>
    </xf>
    <xf numFmtId="0" fontId="0" fillId="0" borderId="0" xfId="0" applyBorder="1"/>
    <xf numFmtId="0" fontId="0" fillId="0" borderId="32" xfId="0" applyBorder="1"/>
    <xf numFmtId="0" fontId="7" fillId="0" borderId="35" xfId="0" applyFont="1" applyBorder="1" applyAlignment="1"/>
    <xf numFmtId="164" fontId="12" fillId="0" borderId="35" xfId="0" applyNumberFormat="1" applyFont="1" applyBorder="1"/>
    <xf numFmtId="0" fontId="13" fillId="0" borderId="35" xfId="0" applyFont="1" applyBorder="1"/>
    <xf numFmtId="0" fontId="7" fillId="0" borderId="32" xfId="0" applyFont="1" applyBorder="1" applyAlignment="1"/>
    <xf numFmtId="164" fontId="12" fillId="0" borderId="32" xfId="0" applyNumberFormat="1" applyFont="1" applyFill="1" applyBorder="1"/>
    <xf numFmtId="164" fontId="12" fillId="0" borderId="32" xfId="0" applyNumberFormat="1" applyFont="1" applyBorder="1"/>
    <xf numFmtId="0" fontId="13" fillId="0" borderId="32" xfId="0" applyFont="1" applyBorder="1"/>
    <xf numFmtId="0" fontId="14" fillId="0" borderId="0" xfId="0" applyFont="1" applyAlignment="1">
      <alignment horizontal="center" wrapText="1"/>
    </xf>
    <xf numFmtId="0" fontId="13" fillId="0" borderId="0" xfId="0" applyFont="1"/>
    <xf numFmtId="164" fontId="15" fillId="0" borderId="0" xfId="0" applyNumberFormat="1" applyFont="1" applyFill="1"/>
    <xf numFmtId="0" fontId="13" fillId="0" borderId="0" xfId="0" applyFont="1" applyBorder="1"/>
    <xf numFmtId="0" fontId="0" fillId="0" borderId="0" xfId="0" applyFill="1"/>
    <xf numFmtId="0" fontId="16" fillId="0" borderId="0" xfId="0" applyFont="1" applyFill="1"/>
    <xf numFmtId="0" fontId="17" fillId="0" borderId="0" xfId="0" applyFont="1" applyFill="1"/>
    <xf numFmtId="0" fontId="1" fillId="0" borderId="0" xfId="0" applyFont="1" applyFill="1"/>
    <xf numFmtId="0" fontId="18" fillId="0" borderId="0" xfId="0" applyFont="1" applyFill="1"/>
    <xf numFmtId="0" fontId="19" fillId="0" borderId="0" xfId="0" applyFont="1" applyFill="1"/>
    <xf numFmtId="0" fontId="18" fillId="0" borderId="11" xfId="0" applyFont="1" applyFill="1" applyBorder="1" applyAlignment="1">
      <alignment horizontal="center"/>
    </xf>
    <xf numFmtId="0" fontId="18" fillId="0" borderId="14" xfId="0" applyFont="1" applyFill="1" applyBorder="1" applyAlignment="1">
      <alignment horizontal="center"/>
    </xf>
    <xf numFmtId="0" fontId="18" fillId="0" borderId="15" xfId="0" applyFont="1" applyFill="1" applyBorder="1" applyAlignment="1">
      <alignment horizontal="center"/>
    </xf>
    <xf numFmtId="0" fontId="18" fillId="0" borderId="13" xfId="0" applyFont="1" applyFill="1" applyBorder="1" applyAlignment="1">
      <alignment horizontal="center"/>
    </xf>
    <xf numFmtId="0" fontId="18" fillId="0" borderId="12" xfId="0" applyFont="1" applyFill="1" applyBorder="1" applyAlignment="1">
      <alignment horizontal="center"/>
    </xf>
    <xf numFmtId="0" fontId="18" fillId="0" borderId="15" xfId="0" applyFont="1" applyFill="1" applyBorder="1"/>
    <xf numFmtId="164" fontId="21" fillId="0" borderId="16" xfId="205" applyNumberFormat="1" applyFont="1" applyFill="1" applyBorder="1" applyAlignment="1">
      <alignment horizontal="center"/>
    </xf>
    <xf numFmtId="164" fontId="21" fillId="0" borderId="18" xfId="205" applyNumberFormat="1" applyFont="1" applyFill="1" applyBorder="1" applyAlignment="1">
      <alignment horizontal="center"/>
    </xf>
    <xf numFmtId="164" fontId="21" fillId="0" borderId="17" xfId="205" applyNumberFormat="1" applyFont="1" applyFill="1" applyBorder="1" applyAlignment="1">
      <alignment horizontal="center"/>
    </xf>
    <xf numFmtId="164" fontId="21" fillId="0" borderId="23" xfId="205" applyNumberFormat="1" applyFont="1" applyFill="1" applyBorder="1" applyAlignment="1">
      <alignment horizontal="center"/>
    </xf>
    <xf numFmtId="164" fontId="21" fillId="0" borderId="21" xfId="205" applyNumberFormat="1" applyFont="1" applyFill="1" applyBorder="1" applyAlignment="1">
      <alignment horizontal="center"/>
    </xf>
    <xf numFmtId="0" fontId="18" fillId="0" borderId="20" xfId="0" applyFont="1" applyFill="1" applyBorder="1"/>
    <xf numFmtId="164" fontId="21" fillId="0" borderId="20" xfId="205" applyNumberFormat="1" applyFont="1" applyFill="1" applyBorder="1" applyAlignment="1">
      <alignment horizontal="center"/>
    </xf>
    <xf numFmtId="164" fontId="21" fillId="0" borderId="22" xfId="205" applyNumberFormat="1" applyFont="1" applyFill="1" applyBorder="1" applyAlignment="1">
      <alignment horizontal="center"/>
    </xf>
    <xf numFmtId="0" fontId="18" fillId="0" borderId="13" xfId="0" applyFont="1" applyFill="1" applyBorder="1"/>
    <xf numFmtId="0" fontId="18" fillId="0" borderId="24" xfId="0" applyFont="1" applyFill="1" applyBorder="1"/>
    <xf numFmtId="164" fontId="21" fillId="0" borderId="25" xfId="205" applyNumberFormat="1" applyFont="1" applyFill="1" applyBorder="1" applyAlignment="1">
      <alignment horizontal="center"/>
    </xf>
    <xf numFmtId="164" fontId="21" fillId="0" borderId="27" xfId="205" applyNumberFormat="1" applyFont="1" applyFill="1" applyBorder="1" applyAlignment="1">
      <alignment horizontal="center"/>
    </xf>
    <xf numFmtId="164" fontId="21" fillId="0" borderId="26" xfId="205" applyNumberFormat="1" applyFont="1" applyFill="1" applyBorder="1" applyAlignment="1">
      <alignment horizontal="center"/>
    </xf>
    <xf numFmtId="164" fontId="17" fillId="0" borderId="25" xfId="205" applyNumberFormat="1" applyFont="1" applyFill="1" applyBorder="1" applyAlignment="1">
      <alignment horizontal="center"/>
    </xf>
    <xf numFmtId="164" fontId="17" fillId="0" borderId="29" xfId="205" applyNumberFormat="1" applyFont="1" applyFill="1" applyBorder="1" applyAlignment="1"/>
    <xf numFmtId="164" fontId="17" fillId="0" borderId="24" xfId="205" applyNumberFormat="1" applyFont="1" applyFill="1" applyBorder="1" applyAlignment="1"/>
    <xf numFmtId="164" fontId="17" fillId="0" borderId="31" xfId="205" applyNumberFormat="1" applyFont="1" applyFill="1" applyBorder="1" applyAlignment="1"/>
    <xf numFmtId="164" fontId="17" fillId="0" borderId="14" xfId="205" applyNumberFormat="1" applyFont="1" applyFill="1" applyBorder="1" applyAlignment="1"/>
    <xf numFmtId="164" fontId="17" fillId="0" borderId="30" xfId="205" applyNumberFormat="1" applyFont="1" applyFill="1" applyBorder="1" applyAlignment="1"/>
    <xf numFmtId="164" fontId="17" fillId="0" borderId="36" xfId="205" applyNumberFormat="1" applyFont="1" applyFill="1" applyBorder="1" applyAlignment="1"/>
    <xf numFmtId="164" fontId="17" fillId="0" borderId="11" xfId="205" applyNumberFormat="1" applyFont="1" applyFill="1" applyBorder="1" applyAlignment="1"/>
    <xf numFmtId="164" fontId="17" fillId="0" borderId="34" xfId="205" applyNumberFormat="1" applyFont="1" applyFill="1" applyBorder="1" applyAlignment="1"/>
    <xf numFmtId="164" fontId="17" fillId="0" borderId="16" xfId="205" applyNumberFormat="1" applyFont="1" applyFill="1" applyBorder="1" applyAlignment="1"/>
    <xf numFmtId="164" fontId="17" fillId="0" borderId="33" xfId="205" applyNumberFormat="1" applyFont="1" applyFill="1" applyBorder="1" applyAlignment="1"/>
    <xf numFmtId="165" fontId="17" fillId="0" borderId="37" xfId="205" applyNumberFormat="1" applyFont="1" applyFill="1" applyBorder="1" applyAlignment="1"/>
    <xf numFmtId="164" fontId="17" fillId="0" borderId="32" xfId="205" applyNumberFormat="1" applyFont="1" applyFill="1" applyBorder="1" applyAlignment="1"/>
    <xf numFmtId="164" fontId="23" fillId="0" borderId="16" xfId="205" applyNumberFormat="1" applyFont="1" applyFill="1" applyBorder="1" applyAlignment="1"/>
    <xf numFmtId="164" fontId="17" fillId="0" borderId="12" xfId="205" applyNumberFormat="1" applyFont="1" applyFill="1" applyBorder="1" applyAlignment="1"/>
    <xf numFmtId="0" fontId="25" fillId="0" borderId="11" xfId="0" applyFont="1" applyFill="1" applyBorder="1"/>
    <xf numFmtId="164" fontId="25" fillId="0" borderId="11" xfId="0" applyNumberFormat="1" applyFont="1" applyFill="1" applyBorder="1"/>
    <xf numFmtId="164" fontId="25" fillId="0" borderId="31" xfId="0" applyNumberFormat="1" applyFont="1" applyFill="1" applyBorder="1"/>
    <xf numFmtId="164" fontId="25" fillId="0" borderId="0" xfId="0" applyNumberFormat="1" applyFont="1" applyFill="1" applyBorder="1"/>
    <xf numFmtId="0" fontId="25" fillId="0" borderId="12" xfId="0" applyFont="1" applyFill="1" applyBorder="1"/>
    <xf numFmtId="0" fontId="25" fillId="0" borderId="29" xfId="0" applyFont="1" applyFill="1" applyBorder="1"/>
    <xf numFmtId="164" fontId="25" fillId="0" borderId="29" xfId="0" applyNumberFormat="1" applyFont="1" applyFill="1" applyBorder="1"/>
    <xf numFmtId="164" fontId="25" fillId="0" borderId="30" xfId="0" applyNumberFormat="1" applyFont="1" applyFill="1" applyBorder="1"/>
    <xf numFmtId="0" fontId="25" fillId="0" borderId="30" xfId="0" applyFont="1" applyFill="1" applyBorder="1"/>
    <xf numFmtId="164" fontId="17" fillId="0" borderId="29" xfId="205" applyNumberFormat="1" applyFont="1" applyFill="1" applyBorder="1" applyAlignment="1">
      <alignment horizontal="center"/>
    </xf>
    <xf numFmtId="164" fontId="17" fillId="0" borderId="30" xfId="205" applyNumberFormat="1" applyFont="1" applyFill="1" applyBorder="1" applyAlignment="1">
      <alignment horizontal="center"/>
    </xf>
    <xf numFmtId="164" fontId="17" fillId="0" borderId="36" xfId="205" applyNumberFormat="1" applyFont="1" applyFill="1" applyBorder="1" applyAlignment="1">
      <alignment horizontal="center"/>
    </xf>
    <xf numFmtId="164" fontId="17" fillId="0" borderId="14" xfId="205" applyNumberFormat="1" applyFont="1" applyFill="1" applyBorder="1" applyAlignment="1">
      <alignment horizontal="center"/>
    </xf>
    <xf numFmtId="164" fontId="17" fillId="0" borderId="34" xfId="205" applyNumberFormat="1" applyFont="1" applyFill="1" applyBorder="1" applyAlignment="1">
      <alignment horizontal="center"/>
    </xf>
    <xf numFmtId="164" fontId="27" fillId="0" borderId="0" xfId="0" applyNumberFormat="1" applyFont="1" applyFill="1"/>
    <xf numFmtId="0" fontId="5" fillId="0" borderId="0" xfId="0" applyFont="1" applyFill="1"/>
    <xf numFmtId="164" fontId="28" fillId="0" borderId="0" xfId="0" applyNumberFormat="1" applyFont="1" applyFill="1"/>
    <xf numFmtId="0" fontId="5" fillId="0" borderId="0" xfId="0" applyFont="1" applyAlignment="1">
      <alignment horizontal="center" wrapText="1"/>
    </xf>
    <xf numFmtId="0" fontId="10" fillId="0" borderId="0" xfId="0" applyFont="1"/>
    <xf numFmtId="0" fontId="7" fillId="0" borderId="38" xfId="0" applyFont="1" applyFill="1" applyBorder="1" applyAlignment="1">
      <alignment horizontal="center" vertical="center" wrapText="1"/>
    </xf>
    <xf numFmtId="0" fontId="7" fillId="0" borderId="38" xfId="0" applyFont="1" applyFill="1" applyBorder="1" applyAlignment="1">
      <alignment horizontal="center" vertical="center"/>
    </xf>
    <xf numFmtId="0" fontId="7" fillId="0" borderId="0" xfId="0" applyFont="1" applyAlignment="1">
      <alignment horizontal="center" vertical="center"/>
    </xf>
    <xf numFmtId="0" fontId="29" fillId="0" borderId="38" xfId="0" applyFont="1" applyFill="1" applyBorder="1"/>
    <xf numFmtId="164" fontId="30" fillId="0" borderId="38" xfId="205" applyFont="1" applyFill="1" applyBorder="1" applyAlignment="1"/>
    <xf numFmtId="164" fontId="30" fillId="0" borderId="38" xfId="205" applyFont="1" applyBorder="1" applyAlignment="1">
      <alignment horizontal="right" wrapText="1" shrinkToFit="1"/>
    </xf>
    <xf numFmtId="164" fontId="20" fillId="0" borderId="38" xfId="205" applyFont="1" applyBorder="1" applyAlignment="1">
      <alignment horizontal="right" wrapText="1" shrinkToFit="1"/>
    </xf>
    <xf numFmtId="164" fontId="30" fillId="0" borderId="38" xfId="205" applyFont="1" applyFill="1" applyBorder="1" applyAlignment="1">
      <alignment horizontal="right" wrapText="1" shrinkToFit="1"/>
    </xf>
    <xf numFmtId="0" fontId="29" fillId="0" borderId="0" xfId="0" applyFont="1"/>
    <xf numFmtId="0" fontId="29" fillId="0" borderId="39" xfId="0" applyFont="1" applyFill="1" applyBorder="1"/>
    <xf numFmtId="164" fontId="20" fillId="0" borderId="40" xfId="205" applyFont="1" applyFill="1" applyBorder="1" applyAlignment="1"/>
    <xf numFmtId="164" fontId="20" fillId="0" borderId="38" xfId="205" applyFont="1" applyFill="1" applyBorder="1" applyAlignment="1"/>
    <xf numFmtId="164" fontId="30" fillId="0" borderId="40" xfId="205" applyFont="1" applyFill="1" applyBorder="1" applyAlignment="1"/>
    <xf numFmtId="164" fontId="8" fillId="0" borderId="14" xfId="205" applyNumberFormat="1" applyFont="1" applyFill="1" applyBorder="1" applyAlignment="1"/>
    <xf numFmtId="164" fontId="21" fillId="0" borderId="15" xfId="205" applyNumberFormat="1" applyFont="1" applyFill="1" applyBorder="1" applyAlignment="1">
      <alignment horizontal="center"/>
    </xf>
    <xf numFmtId="164" fontId="21" fillId="0" borderId="0" xfId="0" applyNumberFormat="1" applyFont="1" applyFill="1"/>
    <xf numFmtId="0" fontId="18" fillId="0" borderId="36" xfId="0" applyFont="1" applyFill="1" applyBorder="1"/>
    <xf numFmtId="165" fontId="17" fillId="0" borderId="31" xfId="205" applyNumberFormat="1" applyFont="1" applyFill="1" applyBorder="1" applyAlignment="1"/>
    <xf numFmtId="0" fontId="25" fillId="0" borderId="31" xfId="0" applyFont="1" applyFill="1" applyBorder="1"/>
    <xf numFmtId="164" fontId="21" fillId="0" borderId="24" xfId="205" applyNumberFormat="1" applyFont="1" applyFill="1" applyBorder="1" applyAlignment="1">
      <alignment horizontal="center"/>
    </xf>
    <xf numFmtId="0" fontId="25" fillId="0" borderId="0" xfId="0" applyFont="1" applyFill="1"/>
    <xf numFmtId="0" fontId="26" fillId="0" borderId="0" xfId="0" applyFont="1" applyFill="1" applyAlignment="1">
      <alignment vertical="center" wrapText="1"/>
    </xf>
    <xf numFmtId="0" fontId="29" fillId="0" borderId="38" xfId="0" applyFont="1" applyFill="1" applyBorder="1" applyAlignment="1">
      <alignment horizontal="center" vertical="center" wrapText="1"/>
    </xf>
    <xf numFmtId="0" fontId="32" fillId="0" borderId="38" xfId="0" applyFont="1" applyFill="1" applyBorder="1" applyAlignment="1">
      <alignment horizontal="center" vertical="center" wrapText="1"/>
    </xf>
    <xf numFmtId="164" fontId="24" fillId="0" borderId="21" xfId="205" applyFont="1" applyFill="1" applyBorder="1" applyAlignment="1">
      <alignment horizontal="center" wrapText="1" shrinkToFit="1"/>
    </xf>
    <xf numFmtId="164" fontId="24" fillId="0" borderId="17" xfId="205" applyFont="1" applyFill="1" applyBorder="1" applyAlignment="1">
      <alignment horizontal="center" wrapText="1" shrinkToFit="1"/>
    </xf>
    <xf numFmtId="164" fontId="24" fillId="0" borderId="22" xfId="205" applyFont="1" applyFill="1" applyBorder="1" applyAlignment="1">
      <alignment horizontal="center" wrapText="1" shrinkToFit="1"/>
    </xf>
    <xf numFmtId="164" fontId="24" fillId="0" borderId="26" xfId="205" applyFont="1" applyFill="1" applyBorder="1" applyAlignment="1">
      <alignment horizontal="center" wrapText="1" shrinkToFit="1"/>
    </xf>
    <xf numFmtId="0" fontId="3" fillId="0" borderId="0" xfId="0" applyFont="1" applyAlignment="1">
      <alignment horizontal="center"/>
    </xf>
    <xf numFmtId="0" fontId="3" fillId="0" borderId="0" xfId="0" applyFont="1" applyAlignment="1">
      <alignment horizontal="center" vertical="center" wrapText="1"/>
    </xf>
    <xf numFmtId="0" fontId="3" fillId="0" borderId="38" xfId="0" applyFont="1" applyBorder="1" applyAlignment="1">
      <alignment horizontal="center" vertical="center" wrapText="1"/>
    </xf>
    <xf numFmtId="0" fontId="3" fillId="0" borderId="38" xfId="0" applyFont="1" applyBorder="1" applyAlignment="1">
      <alignment vertical="center" wrapText="1"/>
    </xf>
    <xf numFmtId="49" fontId="7" fillId="0" borderId="38" xfId="0" applyNumberFormat="1" applyFont="1" applyBorder="1" applyAlignment="1">
      <alignment horizontal="center" vertical="center" wrapText="1"/>
    </xf>
    <xf numFmtId="166" fontId="7" fillId="0" borderId="38" xfId="205" applyNumberFormat="1" applyFont="1" applyBorder="1" applyAlignment="1">
      <alignment vertical="center"/>
    </xf>
    <xf numFmtId="0" fontId="3" fillId="0" borderId="38" xfId="0" applyFont="1" applyBorder="1" applyAlignment="1">
      <alignment vertical="center"/>
    </xf>
    <xf numFmtId="0" fontId="3" fillId="0" borderId="38" xfId="0" applyFont="1" applyBorder="1" applyAlignment="1">
      <alignment horizontal="center" vertical="center"/>
    </xf>
    <xf numFmtId="164" fontId="12" fillId="0" borderId="38" xfId="205" applyFont="1" applyBorder="1" applyAlignment="1">
      <alignment horizontal="center" vertical="center" wrapText="1"/>
    </xf>
    <xf numFmtId="164" fontId="7" fillId="0" borderId="38" xfId="205" applyNumberFormat="1" applyFont="1" applyBorder="1" applyAlignment="1">
      <alignment horizontal="center" vertical="center"/>
    </xf>
    <xf numFmtId="164" fontId="7" fillId="0" borderId="38" xfId="205" applyNumberFormat="1" applyFont="1" applyBorder="1" applyAlignment="1">
      <alignment vertical="center"/>
    </xf>
    <xf numFmtId="0" fontId="32" fillId="0" borderId="38" xfId="0" applyFont="1" applyBorder="1" applyAlignment="1">
      <alignment horizontal="center" vertical="center" wrapText="1"/>
    </xf>
    <xf numFmtId="0" fontId="32" fillId="0" borderId="0" xfId="0" applyFont="1" applyAlignment="1">
      <alignment horizontal="center" vertical="center" wrapText="1"/>
    </xf>
    <xf numFmtId="0" fontId="32" fillId="25" borderId="38" xfId="0" quotePrefix="1" applyFont="1" applyFill="1" applyBorder="1" applyAlignment="1">
      <alignment horizontal="center" vertical="center" wrapText="1"/>
    </xf>
    <xf numFmtId="0" fontId="32" fillId="0" borderId="38" xfId="0" quotePrefix="1" applyFont="1" applyBorder="1" applyAlignment="1">
      <alignment horizontal="center" vertical="center" wrapText="1"/>
    </xf>
    <xf numFmtId="164" fontId="31" fillId="0" borderId="38" xfId="205" applyFont="1" applyBorder="1" applyAlignment="1">
      <alignment horizontal="center" vertical="center" wrapText="1"/>
    </xf>
    <xf numFmtId="164" fontId="31" fillId="0" borderId="38" xfId="205" applyNumberFormat="1" applyFont="1" applyBorder="1" applyAlignment="1">
      <alignment vertical="center"/>
    </xf>
    <xf numFmtId="49" fontId="29" fillId="0" borderId="38" xfId="0" applyNumberFormat="1" applyFont="1" applyBorder="1" applyAlignment="1">
      <alignment horizontal="center" vertical="center" wrapText="1"/>
    </xf>
    <xf numFmtId="0" fontId="32" fillId="0" borderId="38" xfId="0" applyFont="1" applyBorder="1" applyAlignment="1">
      <alignment vertical="center" wrapText="1"/>
    </xf>
    <xf numFmtId="49" fontId="29" fillId="25" borderId="38" xfId="0" applyNumberFormat="1" applyFont="1" applyFill="1" applyBorder="1" applyAlignment="1">
      <alignment horizontal="center" vertical="center" wrapText="1"/>
    </xf>
    <xf numFmtId="0" fontId="32" fillId="0" borderId="38" xfId="0" applyFont="1" applyBorder="1" applyAlignment="1">
      <alignment vertical="center"/>
    </xf>
    <xf numFmtId="49" fontId="32" fillId="0" borderId="38" xfId="0" applyNumberFormat="1" applyFont="1" applyBorder="1" applyAlignment="1">
      <alignment horizontal="center" vertical="center" wrapText="1"/>
    </xf>
    <xf numFmtId="0" fontId="29" fillId="25" borderId="38" xfId="0" applyFont="1" applyFill="1" applyBorder="1" applyAlignment="1">
      <alignment horizontal="center" vertical="center" wrapText="1"/>
    </xf>
    <xf numFmtId="0" fontId="29" fillId="0" borderId="38" xfId="0" applyFont="1" applyBorder="1" applyAlignment="1">
      <alignment horizontal="center" vertical="center" wrapText="1"/>
    </xf>
    <xf numFmtId="0" fontId="29" fillId="0" borderId="38" xfId="0" applyFont="1" applyBorder="1" applyAlignment="1">
      <alignment vertical="center"/>
    </xf>
    <xf numFmtId="164" fontId="31" fillId="25" borderId="38" xfId="0" applyNumberFormat="1" applyFont="1" applyFill="1" applyBorder="1" applyAlignment="1">
      <alignment horizontal="center" vertical="center" wrapText="1"/>
    </xf>
    <xf numFmtId="164" fontId="31" fillId="0" borderId="38" xfId="205" applyNumberFormat="1" applyFont="1" applyBorder="1" applyAlignment="1">
      <alignment horizontal="center" vertical="center"/>
    </xf>
    <xf numFmtId="0" fontId="31" fillId="0" borderId="38" xfId="0" applyFont="1" applyBorder="1" applyAlignment="1">
      <alignment horizontal="center" vertical="center" wrapText="1"/>
    </xf>
    <xf numFmtId="164" fontId="31" fillId="0" borderId="38" xfId="205" applyFont="1" applyFill="1" applyBorder="1" applyAlignment="1">
      <alignment horizontal="center" vertical="center" wrapText="1"/>
    </xf>
    <xf numFmtId="164" fontId="23" fillId="0" borderId="18" xfId="205" applyNumberFormat="1" applyFont="1" applyFill="1" applyBorder="1" applyAlignment="1"/>
    <xf numFmtId="164" fontId="29" fillId="0" borderId="38" xfId="205" applyFont="1" applyFill="1" applyBorder="1" applyAlignment="1">
      <alignment vertical="center" wrapText="1"/>
    </xf>
    <xf numFmtId="164" fontId="17" fillId="0" borderId="37" xfId="205" applyNumberFormat="1" applyFont="1" applyFill="1" applyBorder="1" applyAlignment="1"/>
    <xf numFmtId="164" fontId="25" fillId="0" borderId="13" xfId="0" applyNumberFormat="1" applyFont="1" applyFill="1" applyBorder="1"/>
    <xf numFmtId="164" fontId="25" fillId="0" borderId="24" xfId="0" applyNumberFormat="1" applyFont="1" applyFill="1" applyBorder="1"/>
    <xf numFmtId="164" fontId="17" fillId="0" borderId="24" xfId="205" applyNumberFormat="1" applyFont="1" applyFill="1" applyBorder="1" applyAlignment="1">
      <alignment horizontal="center"/>
    </xf>
    <xf numFmtId="0" fontId="25" fillId="0" borderId="15" xfId="0" applyFont="1" applyFill="1" applyBorder="1"/>
    <xf numFmtId="0" fontId="25" fillId="0" borderId="24" xfId="0" applyFont="1" applyFill="1" applyBorder="1"/>
    <xf numFmtId="164" fontId="24" fillId="0" borderId="38" xfId="205" applyFont="1" applyFill="1" applyBorder="1" applyAlignment="1">
      <alignment horizontal="right" wrapText="1" shrinkToFit="1"/>
    </xf>
    <xf numFmtId="0" fontId="8" fillId="0" borderId="15" xfId="0" applyFont="1" applyFill="1" applyBorder="1" applyAlignment="1">
      <alignment horizontal="center" vertical="center" wrapText="1"/>
    </xf>
    <xf numFmtId="164" fontId="9" fillId="0" borderId="18" xfId="0" applyNumberFormat="1" applyFont="1" applyFill="1" applyBorder="1"/>
    <xf numFmtId="164" fontId="9" fillId="0" borderId="20" xfId="0" applyNumberFormat="1" applyFont="1" applyFill="1" applyBorder="1"/>
    <xf numFmtId="164" fontId="9" fillId="0" borderId="27" xfId="0" applyNumberFormat="1" applyFont="1" applyFill="1" applyBorder="1"/>
    <xf numFmtId="164" fontId="8" fillId="0" borderId="24" xfId="205" applyNumberFormat="1" applyFont="1" applyFill="1" applyBorder="1" applyAlignment="1"/>
    <xf numFmtId="164" fontId="8" fillId="0" borderId="15" xfId="205" applyNumberFormat="1" applyFont="1" applyFill="1" applyBorder="1" applyAlignment="1"/>
    <xf numFmtId="164" fontId="12" fillId="0" borderId="38" xfId="205" applyNumberFormat="1" applyFont="1" applyFill="1" applyBorder="1" applyAlignment="1">
      <alignment vertical="center"/>
    </xf>
    <xf numFmtId="0" fontId="7" fillId="0" borderId="38" xfId="0" applyFont="1" applyBorder="1" applyAlignment="1">
      <alignment horizontal="center" vertical="center"/>
    </xf>
    <xf numFmtId="164" fontId="12" fillId="0" borderId="38" xfId="205" applyNumberFormat="1" applyFont="1" applyBorder="1" applyAlignment="1">
      <alignment vertical="center"/>
    </xf>
    <xf numFmtId="0" fontId="23" fillId="0" borderId="36" xfId="0" applyFont="1" applyFill="1" applyBorder="1" applyAlignment="1">
      <alignment horizontal="center" vertical="center"/>
    </xf>
    <xf numFmtId="0" fontId="23" fillId="0" borderId="0" xfId="0" applyFont="1" applyFill="1" applyAlignment="1">
      <alignment horizontal="center" vertical="center"/>
    </xf>
    <xf numFmtId="164" fontId="24" fillId="0" borderId="0" xfId="205" applyNumberFormat="1" applyFont="1" applyFill="1" applyBorder="1" applyAlignment="1">
      <alignment horizontal="right" vertical="center" wrapText="1" shrinkToFit="1"/>
    </xf>
    <xf numFmtId="2" fontId="23" fillId="0" borderId="0" xfId="0" applyNumberFormat="1" applyFont="1" applyFill="1" applyAlignment="1">
      <alignment vertical="center"/>
    </xf>
    <xf numFmtId="0" fontId="23" fillId="0" borderId="0" xfId="0" applyFont="1" applyFill="1" applyAlignment="1">
      <alignment vertical="center"/>
    </xf>
    <xf numFmtId="0" fontId="23" fillId="0" borderId="0" xfId="0" applyFont="1" applyFill="1" applyBorder="1" applyAlignment="1">
      <alignment horizontal="center" vertical="center"/>
    </xf>
    <xf numFmtId="164" fontId="24" fillId="0" borderId="0" xfId="0" applyNumberFormat="1" applyFont="1" applyFill="1" applyAlignment="1">
      <alignment vertical="center"/>
    </xf>
    <xf numFmtId="0" fontId="23" fillId="0" borderId="38" xfId="0" applyFont="1" applyFill="1" applyBorder="1" applyAlignment="1">
      <alignment horizontal="center" vertical="center" wrapText="1"/>
    </xf>
    <xf numFmtId="164" fontId="23" fillId="0" borderId="0" xfId="0" applyNumberFormat="1" applyFont="1" applyFill="1" applyAlignment="1">
      <alignment vertical="center" wrapText="1"/>
    </xf>
    <xf numFmtId="164" fontId="24" fillId="0" borderId="0" xfId="0" applyNumberFormat="1" applyFont="1" applyFill="1" applyAlignment="1">
      <alignment vertical="center" wrapText="1"/>
    </xf>
    <xf numFmtId="0" fontId="23" fillId="0" borderId="0" xfId="0" applyFont="1" applyFill="1" applyAlignment="1">
      <alignment vertical="center" wrapText="1"/>
    </xf>
    <xf numFmtId="164" fontId="24" fillId="0" borderId="0" xfId="205" applyFont="1" applyFill="1" applyAlignment="1">
      <alignment vertical="center" wrapText="1"/>
    </xf>
    <xf numFmtId="164" fontId="23" fillId="0" borderId="0" xfId="0" applyNumberFormat="1" applyFont="1" applyFill="1" applyAlignment="1">
      <alignment vertical="center"/>
    </xf>
    <xf numFmtId="0" fontId="24" fillId="0" borderId="0" xfId="0" applyFont="1" applyFill="1" applyAlignment="1">
      <alignment vertical="center"/>
    </xf>
    <xf numFmtId="0" fontId="23" fillId="0" borderId="11" xfId="0" applyFont="1" applyFill="1" applyBorder="1" applyAlignment="1">
      <alignment horizontal="center" vertical="center"/>
    </xf>
    <xf numFmtId="0" fontId="23" fillId="0" borderId="15" xfId="0" applyFont="1" applyFill="1" applyBorder="1" applyAlignment="1">
      <alignment horizontal="center" vertical="center"/>
    </xf>
    <xf numFmtId="0" fontId="23" fillId="0" borderId="14"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0" xfId="0" applyFont="1" applyFill="1" applyBorder="1" applyAlignment="1">
      <alignment vertical="center"/>
    </xf>
    <xf numFmtId="164" fontId="24" fillId="0" borderId="0" xfId="0" applyNumberFormat="1" applyFont="1" applyFill="1" applyBorder="1" applyAlignment="1">
      <alignment vertical="center"/>
    </xf>
    <xf numFmtId="164" fontId="24" fillId="0" borderId="0" xfId="0" applyNumberFormat="1" applyFont="1" applyFill="1" applyAlignment="1">
      <alignment horizontal="center" vertical="center"/>
    </xf>
    <xf numFmtId="0" fontId="23" fillId="0" borderId="0" xfId="0" applyFont="1" applyFill="1" applyBorder="1" applyAlignment="1">
      <alignment horizontal="right" vertical="center"/>
    </xf>
    <xf numFmtId="0" fontId="23" fillId="0" borderId="0" xfId="0" applyFont="1" applyFill="1" applyBorder="1" applyAlignment="1">
      <alignment horizontal="left" vertical="center"/>
    </xf>
    <xf numFmtId="164" fontId="23" fillId="0" borderId="0" xfId="205" applyFont="1" applyFill="1" applyAlignment="1">
      <alignment vertical="center"/>
    </xf>
    <xf numFmtId="4" fontId="23" fillId="0" borderId="0" xfId="0" applyNumberFormat="1" applyFont="1" applyFill="1" applyBorder="1" applyAlignment="1">
      <alignment horizontal="right" vertical="center" shrinkToFit="1"/>
    </xf>
    <xf numFmtId="0" fontId="24" fillId="0" borderId="0" xfId="0" applyFont="1" applyFill="1" applyBorder="1" applyAlignment="1">
      <alignment horizontal="center" vertical="center"/>
    </xf>
    <xf numFmtId="0" fontId="23" fillId="0" borderId="0" xfId="0" applyFont="1" applyFill="1" applyBorder="1" applyAlignment="1">
      <alignment horizontal="center" vertical="center" wrapText="1"/>
    </xf>
    <xf numFmtId="0" fontId="22" fillId="0" borderId="0" xfId="0" applyFont="1" applyFill="1" applyBorder="1" applyAlignment="1">
      <alignment horizontal="center" vertical="center"/>
    </xf>
    <xf numFmtId="0" fontId="23" fillId="0" borderId="0" xfId="0" applyFont="1" applyFill="1" applyAlignment="1">
      <alignment horizontal="center" vertical="center" wrapText="1"/>
    </xf>
    <xf numFmtId="0" fontId="23" fillId="0" borderId="0" xfId="0" applyFont="1" applyAlignment="1">
      <alignment horizontal="center" vertical="center"/>
    </xf>
    <xf numFmtId="49" fontId="32" fillId="0" borderId="38" xfId="0" applyNumberFormat="1" applyFont="1" applyFill="1" applyBorder="1" applyAlignment="1">
      <alignment horizontal="center" vertical="center" wrapText="1"/>
    </xf>
    <xf numFmtId="49" fontId="29" fillId="0" borderId="38" xfId="0" applyNumberFormat="1" applyFont="1" applyFill="1" applyBorder="1" applyAlignment="1">
      <alignment horizontal="center" vertical="center" wrapText="1"/>
    </xf>
    <xf numFmtId="0" fontId="32" fillId="25" borderId="38" xfId="0" applyNumberFormat="1" applyFont="1" applyFill="1" applyBorder="1" applyAlignment="1">
      <alignment vertical="center" wrapText="1"/>
    </xf>
    <xf numFmtId="0" fontId="29" fillId="0" borderId="0" xfId="0" applyFont="1" applyFill="1" applyBorder="1"/>
    <xf numFmtId="164" fontId="20" fillId="0" borderId="0" xfId="205" applyFont="1" applyFill="1" applyBorder="1" applyAlignment="1"/>
    <xf numFmtId="0" fontId="29" fillId="0" borderId="0" xfId="0" applyFont="1" applyBorder="1" applyAlignment="1">
      <alignment horizontal="center" vertical="center"/>
    </xf>
    <xf numFmtId="0" fontId="29" fillId="0" borderId="0" xfId="0" applyFont="1" applyFill="1" applyBorder="1" applyAlignment="1">
      <alignment horizontal="center" vertical="center"/>
    </xf>
    <xf numFmtId="0" fontId="29" fillId="0" borderId="0" xfId="0" applyFont="1" applyFill="1"/>
    <xf numFmtId="164" fontId="12" fillId="0" borderId="0" xfId="0" applyNumberFormat="1" applyFont="1" applyFill="1"/>
    <xf numFmtId="164" fontId="24" fillId="0" borderId="0" xfId="0" applyNumberFormat="1" applyFont="1" applyFill="1" applyBorder="1" applyAlignment="1">
      <alignment horizontal="center" vertical="center"/>
    </xf>
    <xf numFmtId="165" fontId="17" fillId="0" borderId="13" xfId="205" applyNumberFormat="1" applyFont="1" applyFill="1" applyBorder="1" applyAlignment="1"/>
    <xf numFmtId="0" fontId="25" fillId="0" borderId="13" xfId="0" applyFont="1" applyFill="1" applyBorder="1"/>
    <xf numFmtId="0" fontId="36" fillId="0" borderId="0" xfId="0" applyFont="1" applyAlignment="1">
      <alignment horizontal="left"/>
    </xf>
    <xf numFmtId="164" fontId="26" fillId="0" borderId="0" xfId="0" applyNumberFormat="1" applyFont="1" applyFill="1" applyAlignment="1">
      <alignment vertical="center" wrapText="1"/>
    </xf>
    <xf numFmtId="164" fontId="6" fillId="0" borderId="0" xfId="205" applyFont="1" applyFill="1" applyAlignment="1">
      <alignment vertical="center" wrapText="1"/>
    </xf>
    <xf numFmtId="49" fontId="32" fillId="0" borderId="41" xfId="0" applyNumberFormat="1" applyFont="1" applyBorder="1" applyAlignment="1">
      <alignment horizontal="center" vertical="center" wrapText="1"/>
    </xf>
    <xf numFmtId="4" fontId="23" fillId="0" borderId="0" xfId="193" applyNumberFormat="1" applyFont="1" applyBorder="1" applyAlignment="1">
      <alignment horizontal="right" shrinkToFit="1"/>
    </xf>
    <xf numFmtId="164" fontId="24" fillId="0" borderId="38" xfId="205" applyFont="1" applyFill="1" applyBorder="1" applyAlignment="1"/>
    <xf numFmtId="0" fontId="54" fillId="0" borderId="0" xfId="0" applyFont="1"/>
    <xf numFmtId="49" fontId="29" fillId="0" borderId="38" xfId="0" quotePrefix="1" applyNumberFormat="1" applyFont="1" applyFill="1" applyBorder="1" applyAlignment="1">
      <alignment horizontal="center" vertical="center" wrapText="1"/>
    </xf>
    <xf numFmtId="164" fontId="29" fillId="0" borderId="38" xfId="205" applyFont="1" applyFill="1" applyBorder="1" applyAlignment="1">
      <alignment horizontal="center" vertical="center" wrapText="1"/>
    </xf>
    <xf numFmtId="4" fontId="23" fillId="0" borderId="0" xfId="0" applyNumberFormat="1" applyFont="1" applyFill="1" applyBorder="1" applyAlignment="1">
      <alignment horizontal="right" vertical="top" shrinkToFit="1"/>
    </xf>
    <xf numFmtId="4" fontId="23" fillId="0" borderId="0" xfId="190" applyNumberFormat="1" applyFont="1" applyFill="1" applyBorder="1" applyAlignment="1">
      <alignment horizontal="right" vertical="top" shrinkToFit="1"/>
    </xf>
    <xf numFmtId="4" fontId="7" fillId="0" borderId="38" xfId="188" applyNumberFormat="1" applyFont="1" applyFill="1" applyBorder="1" applyAlignment="1">
      <alignment horizontal="center" vertical="center"/>
    </xf>
    <xf numFmtId="164" fontId="30" fillId="0" borderId="0" xfId="205" applyFont="1" applyFill="1" applyBorder="1" applyAlignment="1"/>
    <xf numFmtId="164" fontId="20" fillId="0" borderId="38" xfId="205" applyFont="1" applyFill="1" applyBorder="1" applyAlignment="1">
      <alignment horizontal="right" wrapText="1" shrinkToFit="1"/>
    </xf>
    <xf numFmtId="4" fontId="23" fillId="0" borderId="0" xfId="190" applyNumberFormat="1" applyFont="1" applyFill="1" applyBorder="1" applyAlignment="1">
      <alignment horizontal="right" shrinkToFit="1"/>
    </xf>
    <xf numFmtId="164" fontId="24" fillId="0" borderId="0" xfId="205" applyFont="1" applyFill="1" applyBorder="1" applyAlignment="1">
      <alignment horizontal="right" vertical="top" shrinkToFit="1"/>
    </xf>
    <xf numFmtId="164" fontId="21" fillId="0" borderId="33" xfId="205" applyNumberFormat="1" applyFont="1" applyFill="1" applyBorder="1" applyAlignment="1">
      <alignment horizontal="center"/>
    </xf>
    <xf numFmtId="164" fontId="24" fillId="0" borderId="18" xfId="205" applyFont="1" applyFill="1" applyBorder="1" applyAlignment="1">
      <alignment horizontal="center" wrapText="1" shrinkToFit="1"/>
    </xf>
    <xf numFmtId="164" fontId="24" fillId="0" borderId="20" xfId="205" applyFont="1" applyFill="1" applyBorder="1" applyAlignment="1">
      <alignment horizontal="center" wrapText="1" shrinkToFit="1"/>
    </xf>
    <xf numFmtId="164" fontId="24" fillId="0" borderId="27" xfId="205" applyFont="1" applyFill="1" applyBorder="1" applyAlignment="1">
      <alignment horizontal="center" wrapText="1" shrinkToFit="1"/>
    </xf>
    <xf numFmtId="164" fontId="31" fillId="25" borderId="38" xfId="205" applyFont="1" applyFill="1" applyBorder="1" applyAlignment="1">
      <alignment horizontal="center" vertical="center" wrapText="1"/>
    </xf>
    <xf numFmtId="164" fontId="29" fillId="0" borderId="38" xfId="205" applyFont="1" applyBorder="1" applyAlignment="1">
      <alignment horizontal="center" vertical="center" wrapText="1"/>
    </xf>
    <xf numFmtId="164" fontId="29" fillId="0" borderId="38" xfId="205" applyFont="1" applyFill="1" applyBorder="1" applyAlignment="1">
      <alignment vertical="center"/>
    </xf>
    <xf numFmtId="164" fontId="31" fillId="0" borderId="38" xfId="205" applyFont="1" applyBorder="1" applyAlignment="1">
      <alignment vertical="center"/>
    </xf>
    <xf numFmtId="164" fontId="29" fillId="0" borderId="38" xfId="205" applyFont="1" applyBorder="1" applyAlignment="1">
      <alignment vertical="center"/>
    </xf>
    <xf numFmtId="164" fontId="31" fillId="25" borderId="38" xfId="205" applyFont="1" applyFill="1" applyBorder="1" applyAlignment="1">
      <alignment vertical="center"/>
    </xf>
    <xf numFmtId="164" fontId="31" fillId="0" borderId="38" xfId="205" applyFont="1" applyFill="1" applyBorder="1" applyAlignment="1">
      <alignment vertical="center"/>
    </xf>
    <xf numFmtId="165" fontId="31" fillId="0" borderId="0" xfId="205" applyNumberFormat="1" applyFont="1" applyAlignment="1">
      <alignment horizontal="center" vertical="center" wrapText="1"/>
    </xf>
    <xf numFmtId="164" fontId="23" fillId="26" borderId="38" xfId="205" applyFont="1" applyFill="1" applyBorder="1" applyAlignment="1">
      <alignment vertical="center"/>
    </xf>
    <xf numFmtId="164" fontId="24" fillId="0" borderId="38" xfId="205" applyFont="1" applyFill="1" applyBorder="1" applyAlignment="1">
      <alignment vertical="center"/>
    </xf>
    <xf numFmtId="0" fontId="7" fillId="27" borderId="38" xfId="0" applyFont="1" applyFill="1" applyBorder="1" applyAlignment="1">
      <alignment horizontal="center" vertical="center"/>
    </xf>
    <xf numFmtId="164" fontId="30" fillId="27" borderId="38" xfId="205" applyFont="1" applyFill="1" applyBorder="1" applyAlignment="1"/>
    <xf numFmtId="164" fontId="20" fillId="27" borderId="40" xfId="205" applyFont="1" applyFill="1" applyBorder="1" applyAlignment="1"/>
    <xf numFmtId="164" fontId="20" fillId="27" borderId="38" xfId="205" applyFont="1" applyFill="1" applyBorder="1" applyAlignment="1"/>
    <xf numFmtId="164" fontId="23" fillId="26" borderId="42" xfId="205" applyFont="1" applyFill="1" applyBorder="1" applyAlignment="1">
      <alignment vertical="center"/>
    </xf>
    <xf numFmtId="164" fontId="24" fillId="0" borderId="0" xfId="205" applyFont="1" applyFill="1" applyBorder="1" applyAlignment="1">
      <alignment vertical="center"/>
    </xf>
    <xf numFmtId="0" fontId="23" fillId="27" borderId="15" xfId="0" applyFont="1" applyFill="1" applyBorder="1" applyAlignment="1">
      <alignment horizontal="center" vertical="center"/>
    </xf>
    <xf numFmtId="0" fontId="23" fillId="27" borderId="14" xfId="0" applyFont="1" applyFill="1" applyBorder="1" applyAlignment="1">
      <alignment horizontal="center" vertical="center"/>
    </xf>
    <xf numFmtId="0" fontId="23" fillId="27" borderId="11" xfId="0" applyFont="1" applyFill="1" applyBorder="1" applyAlignment="1">
      <alignment horizontal="center" vertical="center"/>
    </xf>
    <xf numFmtId="0" fontId="8" fillId="27" borderId="11" xfId="0" applyFont="1" applyFill="1" applyBorder="1" applyAlignment="1">
      <alignment horizontal="center" vertical="center" wrapText="1"/>
    </xf>
    <xf numFmtId="0" fontId="8" fillId="27" borderId="15" xfId="0" applyFont="1" applyFill="1" applyBorder="1" applyAlignment="1">
      <alignment horizontal="center" vertical="center" wrapText="1"/>
    </xf>
    <xf numFmtId="0" fontId="8" fillId="27" borderId="12" xfId="0" applyFont="1" applyFill="1" applyBorder="1" applyAlignment="1">
      <alignment horizontal="center" vertical="center" wrapText="1"/>
    </xf>
    <xf numFmtId="0" fontId="8" fillId="27" borderId="43" xfId="0" applyFont="1" applyFill="1" applyBorder="1" applyAlignment="1">
      <alignment horizontal="center" vertical="center" wrapText="1"/>
    </xf>
    <xf numFmtId="164" fontId="9" fillId="27" borderId="18" xfId="205" applyNumberFormat="1" applyFont="1" applyFill="1" applyBorder="1" applyAlignment="1">
      <alignment horizontal="center"/>
    </xf>
    <xf numFmtId="164" fontId="9" fillId="27" borderId="16" xfId="205" applyNumberFormat="1" applyFont="1" applyFill="1" applyBorder="1" applyAlignment="1">
      <alignment horizontal="center"/>
    </xf>
    <xf numFmtId="164" fontId="9" fillId="27" borderId="17" xfId="205" applyNumberFormat="1" applyFont="1" applyFill="1" applyBorder="1" applyAlignment="1">
      <alignment horizontal="center"/>
    </xf>
    <xf numFmtId="164" fontId="9" fillId="27" borderId="19" xfId="205" applyNumberFormat="1" applyFont="1" applyFill="1" applyBorder="1" applyAlignment="1">
      <alignment horizontal="center"/>
    </xf>
    <xf numFmtId="164" fontId="9" fillId="27" borderId="16" xfId="0" applyNumberFormat="1" applyFont="1" applyFill="1" applyBorder="1"/>
    <xf numFmtId="164" fontId="9" fillId="27" borderId="20" xfId="205" applyNumberFormat="1" applyFont="1" applyFill="1" applyBorder="1" applyAlignment="1">
      <alignment horizontal="center"/>
    </xf>
    <xf numFmtId="164" fontId="9" fillId="27" borderId="21" xfId="205" applyNumberFormat="1" applyFont="1" applyFill="1" applyBorder="1" applyAlignment="1">
      <alignment horizontal="center"/>
    </xf>
    <xf numFmtId="164" fontId="9" fillId="27" borderId="22" xfId="205" applyNumberFormat="1" applyFont="1" applyFill="1" applyBorder="1" applyAlignment="1">
      <alignment horizontal="center"/>
    </xf>
    <xf numFmtId="164" fontId="9" fillId="27" borderId="23" xfId="205" applyNumberFormat="1" applyFont="1" applyFill="1" applyBorder="1" applyAlignment="1">
      <alignment horizontal="center"/>
    </xf>
    <xf numFmtId="164" fontId="9" fillId="27" borderId="21" xfId="0" applyNumberFormat="1" applyFont="1" applyFill="1" applyBorder="1"/>
    <xf numFmtId="164" fontId="9" fillId="27" borderId="27" xfId="205" applyNumberFormat="1" applyFont="1" applyFill="1" applyBorder="1" applyAlignment="1">
      <alignment horizontal="center"/>
    </xf>
    <xf numFmtId="164" fontId="9" fillId="27" borderId="25" xfId="205" applyNumberFormat="1" applyFont="1" applyFill="1" applyBorder="1" applyAlignment="1">
      <alignment horizontal="center"/>
    </xf>
    <xf numFmtId="164" fontId="9" fillId="27" borderId="26" xfId="205" applyNumberFormat="1" applyFont="1" applyFill="1" applyBorder="1" applyAlignment="1">
      <alignment horizontal="center"/>
    </xf>
    <xf numFmtId="164" fontId="9" fillId="27" borderId="28" xfId="205" applyNumberFormat="1" applyFont="1" applyFill="1" applyBorder="1" applyAlignment="1">
      <alignment horizontal="center"/>
    </xf>
    <xf numFmtId="164" fontId="9" fillId="27" borderId="25" xfId="0" applyNumberFormat="1" applyFont="1" applyFill="1" applyBorder="1"/>
    <xf numFmtId="164" fontId="8" fillId="27" borderId="14" xfId="205" applyNumberFormat="1" applyFont="1" applyFill="1" applyBorder="1" applyAlignment="1"/>
    <xf numFmtId="164" fontId="8" fillId="27" borderId="30" xfId="205" applyNumberFormat="1" applyFont="1" applyFill="1" applyBorder="1" applyAlignment="1"/>
    <xf numFmtId="164" fontId="8" fillId="27" borderId="29" xfId="205" applyNumberFormat="1" applyFont="1" applyFill="1" applyBorder="1" applyAlignment="1"/>
    <xf numFmtId="164" fontId="8" fillId="27" borderId="44" xfId="205" applyNumberFormat="1" applyFont="1" applyFill="1" applyBorder="1" applyAlignment="1"/>
    <xf numFmtId="165" fontId="8" fillId="27" borderId="33" xfId="205" applyNumberFormat="1" applyFont="1" applyFill="1" applyBorder="1" applyAlignment="1"/>
    <xf numFmtId="165" fontId="8" fillId="27" borderId="0" xfId="205" applyNumberFormat="1" applyFont="1" applyFill="1" applyBorder="1" applyAlignment="1"/>
    <xf numFmtId="165" fontId="8" fillId="27" borderId="31" xfId="205" applyNumberFormat="1" applyFont="1" applyFill="1" applyBorder="1" applyAlignment="1"/>
    <xf numFmtId="0" fontId="8" fillId="27" borderId="31" xfId="0" applyFont="1" applyFill="1" applyBorder="1"/>
    <xf numFmtId="164" fontId="8" fillId="27" borderId="11" xfId="205" applyNumberFormat="1" applyFont="1" applyFill="1" applyBorder="1" applyAlignment="1"/>
    <xf numFmtId="164" fontId="8" fillId="27" borderId="12" xfId="205" applyNumberFormat="1" applyFont="1" applyFill="1" applyBorder="1" applyAlignment="1"/>
    <xf numFmtId="0" fontId="10" fillId="27" borderId="11" xfId="0" applyFont="1" applyFill="1" applyBorder="1"/>
    <xf numFmtId="0" fontId="10" fillId="27" borderId="12" xfId="0" applyFont="1" applyFill="1" applyBorder="1"/>
    <xf numFmtId="0" fontId="8" fillId="27" borderId="11" xfId="0" applyFont="1" applyFill="1" applyBorder="1"/>
    <xf numFmtId="0" fontId="10" fillId="27" borderId="29" xfId="0" applyFont="1" applyFill="1" applyBorder="1"/>
    <xf numFmtId="0" fontId="10" fillId="27" borderId="30" xfId="0" applyFont="1" applyFill="1" applyBorder="1"/>
    <xf numFmtId="0" fontId="8" fillId="27" borderId="29" xfId="0" applyFont="1" applyFill="1" applyBorder="1"/>
    <xf numFmtId="164" fontId="8" fillId="27" borderId="14" xfId="205" applyNumberFormat="1" applyFont="1" applyFill="1" applyBorder="1" applyAlignment="1">
      <alignment horizontal="center"/>
    </xf>
    <xf numFmtId="164" fontId="8" fillId="27" borderId="34" xfId="205" applyNumberFormat="1" applyFont="1" applyFill="1" applyBorder="1" applyAlignment="1">
      <alignment horizontal="center"/>
    </xf>
    <xf numFmtId="0" fontId="8" fillId="27" borderId="14" xfId="0" applyFont="1" applyFill="1" applyBorder="1" applyAlignment="1">
      <alignment horizontal="center" vertical="center" wrapText="1"/>
    </xf>
    <xf numFmtId="164" fontId="23" fillId="27" borderId="33" xfId="205" applyFont="1" applyFill="1" applyBorder="1" applyAlignment="1">
      <alignment horizontal="center" wrapText="1" shrinkToFit="1"/>
    </xf>
    <xf numFmtId="164" fontId="24" fillId="25" borderId="16" xfId="205" applyFont="1" applyFill="1" applyBorder="1" applyAlignment="1">
      <alignment horizontal="center"/>
    </xf>
    <xf numFmtId="0" fontId="23" fillId="0" borderId="0" xfId="0" applyFont="1" applyFill="1" applyAlignment="1">
      <alignment horizontal="center"/>
    </xf>
    <xf numFmtId="164" fontId="23" fillId="0" borderId="21" xfId="205" applyFont="1" applyFill="1" applyBorder="1" applyAlignment="1">
      <alignment horizontal="center" wrapText="1" shrinkToFit="1"/>
    </xf>
    <xf numFmtId="164" fontId="23" fillId="27" borderId="21" xfId="205" applyFont="1" applyFill="1" applyBorder="1" applyAlignment="1">
      <alignment horizontal="center" wrapText="1" shrinkToFit="1"/>
    </xf>
    <xf numFmtId="164" fontId="24" fillId="25" borderId="21" xfId="205" applyFont="1" applyFill="1" applyBorder="1" applyAlignment="1">
      <alignment horizontal="center"/>
    </xf>
    <xf numFmtId="164" fontId="23" fillId="25" borderId="21" xfId="205" applyFont="1" applyFill="1" applyBorder="1" applyAlignment="1">
      <alignment horizontal="center"/>
    </xf>
    <xf numFmtId="164" fontId="24" fillId="25" borderId="25" xfId="205" applyFont="1" applyFill="1" applyBorder="1" applyAlignment="1">
      <alignment horizontal="center"/>
    </xf>
    <xf numFmtId="164" fontId="23" fillId="0" borderId="29" xfId="205" applyFont="1" applyFill="1" applyBorder="1" applyAlignment="1">
      <alignment horizontal="center"/>
    </xf>
    <xf numFmtId="164" fontId="23" fillId="0" borderId="11" xfId="205" applyFont="1" applyFill="1" applyBorder="1" applyAlignment="1">
      <alignment horizontal="center"/>
    </xf>
    <xf numFmtId="0" fontId="23" fillId="0" borderId="15" xfId="0" applyFont="1" applyFill="1" applyBorder="1" applyAlignment="1">
      <alignment horizontal="left"/>
    </xf>
    <xf numFmtId="0" fontId="23" fillId="0" borderId="20" xfId="0" applyFont="1" applyFill="1" applyBorder="1" applyAlignment="1">
      <alignment horizontal="left"/>
    </xf>
    <xf numFmtId="0" fontId="23" fillId="0" borderId="13" xfId="0" applyFont="1" applyFill="1" applyBorder="1" applyAlignment="1">
      <alignment horizontal="left"/>
    </xf>
    <xf numFmtId="0" fontId="23" fillId="0" borderId="24" xfId="0" applyFont="1" applyFill="1" applyBorder="1" applyAlignment="1">
      <alignment horizontal="left"/>
    </xf>
    <xf numFmtId="0" fontId="23" fillId="0" borderId="14" xfId="0" applyFont="1" applyFill="1" applyBorder="1" applyAlignment="1">
      <alignment horizontal="left"/>
    </xf>
    <xf numFmtId="0" fontId="23" fillId="0" borderId="31" xfId="0" applyFont="1" applyFill="1" applyBorder="1" applyAlignment="1">
      <alignment horizontal="left"/>
    </xf>
    <xf numFmtId="0" fontId="23" fillId="0" borderId="21" xfId="0" applyFont="1" applyFill="1" applyBorder="1" applyAlignment="1">
      <alignment horizontal="left"/>
    </xf>
    <xf numFmtId="0" fontId="23" fillId="0" borderId="11" xfId="0" applyFont="1" applyFill="1" applyBorder="1" applyAlignment="1">
      <alignment horizontal="left"/>
    </xf>
    <xf numFmtId="0" fontId="23" fillId="0" borderId="29" xfId="0" applyFont="1" applyFill="1" applyBorder="1" applyAlignment="1">
      <alignment horizontal="left"/>
    </xf>
    <xf numFmtId="164" fontId="12" fillId="0" borderId="0" xfId="205" applyFont="1"/>
    <xf numFmtId="0" fontId="3" fillId="0" borderId="0" xfId="0" applyFont="1" applyAlignment="1">
      <alignment vertical="center"/>
    </xf>
    <xf numFmtId="164" fontId="12" fillId="0" borderId="38" xfId="205" applyFont="1" applyBorder="1" applyAlignment="1">
      <alignment vertical="center"/>
    </xf>
    <xf numFmtId="0" fontId="7" fillId="25" borderId="38" xfId="0" applyFont="1" applyFill="1" applyBorder="1" applyAlignment="1">
      <alignment horizontal="center" vertical="center" wrapText="1"/>
    </xf>
    <xf numFmtId="164" fontId="11" fillId="0" borderId="0" xfId="0" applyNumberFormat="1" applyFont="1" applyAlignment="1">
      <alignment vertical="center"/>
    </xf>
    <xf numFmtId="164" fontId="7" fillId="25" borderId="38" xfId="205" applyFont="1" applyFill="1" applyBorder="1" applyAlignment="1">
      <alignment vertical="center"/>
    </xf>
    <xf numFmtId="0" fontId="11" fillId="0" borderId="0" xfId="0" applyFont="1" applyAlignment="1">
      <alignment vertical="center"/>
    </xf>
    <xf numFmtId="0" fontId="3" fillId="0" borderId="38" xfId="0" applyFont="1" applyFill="1" applyBorder="1" applyAlignment="1">
      <alignment horizontal="center" vertical="center" wrapText="1"/>
    </xf>
    <xf numFmtId="164" fontId="7" fillId="0" borderId="38" xfId="205" applyFont="1" applyFill="1" applyBorder="1" applyAlignment="1">
      <alignment vertical="center"/>
    </xf>
    <xf numFmtId="164" fontId="24" fillId="0" borderId="0" xfId="205" applyFont="1" applyFill="1" applyAlignment="1">
      <alignment vertical="center"/>
    </xf>
    <xf numFmtId="4" fontId="3" fillId="28" borderId="46" xfId="191" applyNumberFormat="1" applyFont="1" applyFill="1" applyBorder="1" applyAlignment="1">
      <alignment horizontal="right" vertical="top" shrinkToFit="1"/>
    </xf>
    <xf numFmtId="0" fontId="60" fillId="0" borderId="38" xfId="0" applyFont="1" applyBorder="1" applyAlignment="1">
      <alignment horizontal="center" vertical="center" wrapText="1"/>
    </xf>
    <xf numFmtId="164" fontId="61" fillId="0" borderId="38" xfId="205" applyFont="1" applyBorder="1" applyAlignment="1">
      <alignment vertical="center"/>
    </xf>
    <xf numFmtId="0" fontId="60" fillId="0" borderId="0" xfId="0" applyFont="1" applyAlignment="1">
      <alignment vertical="center"/>
    </xf>
    <xf numFmtId="0" fontId="3" fillId="29" borderId="38" xfId="0" applyFont="1" applyFill="1" applyBorder="1" applyAlignment="1">
      <alignment vertical="center" wrapText="1"/>
    </xf>
    <xf numFmtId="164" fontId="12" fillId="29" borderId="38" xfId="205" applyFont="1" applyFill="1" applyBorder="1" applyAlignment="1">
      <alignment vertical="center"/>
    </xf>
    <xf numFmtId="0" fontId="60" fillId="0" borderId="38" xfId="0" applyFont="1" applyFill="1" applyBorder="1" applyAlignment="1">
      <alignment horizontal="center" vertical="center" wrapText="1"/>
    </xf>
    <xf numFmtId="164" fontId="61" fillId="0" borderId="38" xfId="205" applyFont="1" applyFill="1" applyBorder="1" applyAlignment="1">
      <alignment vertical="center"/>
    </xf>
    <xf numFmtId="0" fontId="60" fillId="0" borderId="0" xfId="0" applyFont="1" applyFill="1" applyAlignment="1">
      <alignment vertical="center"/>
    </xf>
    <xf numFmtId="0" fontId="3" fillId="0" borderId="0" xfId="0" applyFont="1" applyFill="1" applyAlignment="1">
      <alignment vertical="center"/>
    </xf>
    <xf numFmtId="164" fontId="31" fillId="0" borderId="0" xfId="205" applyFont="1" applyBorder="1" applyAlignment="1">
      <alignment horizontal="center" vertical="center"/>
    </xf>
    <xf numFmtId="0" fontId="32" fillId="0" borderId="0" xfId="0" quotePrefix="1" applyFont="1" applyFill="1" applyBorder="1" applyAlignment="1">
      <alignment horizontal="center" vertical="center" wrapText="1"/>
    </xf>
    <xf numFmtId="0" fontId="60"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32" fillId="27" borderId="38" xfId="0" quotePrefix="1" applyFont="1" applyFill="1" applyBorder="1" applyAlignment="1">
      <alignment horizontal="center" vertical="center" wrapText="1"/>
    </xf>
    <xf numFmtId="0" fontId="60" fillId="27" borderId="38" xfId="0" applyFont="1" applyFill="1" applyBorder="1" applyAlignment="1">
      <alignment horizontal="center" vertical="center" wrapText="1"/>
    </xf>
    <xf numFmtId="0" fontId="29" fillId="27" borderId="38" xfId="0" applyFont="1" applyFill="1" applyBorder="1" applyAlignment="1">
      <alignment horizontal="center" vertical="center" wrapText="1"/>
    </xf>
    <xf numFmtId="0" fontId="32" fillId="25" borderId="38" xfId="0" applyFont="1" applyFill="1" applyBorder="1" applyAlignment="1">
      <alignment horizontal="center" vertical="center"/>
    </xf>
    <xf numFmtId="0" fontId="29" fillId="25" borderId="38" xfId="0" applyFont="1" applyFill="1" applyBorder="1" applyAlignment="1">
      <alignment horizontal="center" vertical="center"/>
    </xf>
    <xf numFmtId="164" fontId="31" fillId="25" borderId="38" xfId="205" applyFont="1" applyFill="1" applyBorder="1" applyAlignment="1">
      <alignment horizontal="center" vertical="center"/>
    </xf>
    <xf numFmtId="0" fontId="63" fillId="27" borderId="38" xfId="0" applyFont="1" applyFill="1" applyBorder="1" applyAlignment="1">
      <alignment horizontal="center" vertical="center" wrapText="1"/>
    </xf>
    <xf numFmtId="49" fontId="32" fillId="29" borderId="38" xfId="0" applyNumberFormat="1" applyFont="1" applyFill="1" applyBorder="1" applyAlignment="1">
      <alignment horizontal="center" vertical="center" wrapText="1"/>
    </xf>
    <xf numFmtId="0" fontId="60" fillId="29" borderId="38" xfId="0" applyFont="1" applyFill="1" applyBorder="1" applyAlignment="1">
      <alignment horizontal="center" vertical="center" wrapText="1"/>
    </xf>
    <xf numFmtId="49" fontId="29" fillId="29" borderId="38" xfId="0" quotePrefix="1" applyNumberFormat="1" applyFont="1" applyFill="1" applyBorder="1" applyAlignment="1">
      <alignment horizontal="center" vertical="center" wrapText="1"/>
    </xf>
    <xf numFmtId="164" fontId="64" fillId="29" borderId="38" xfId="205" applyFont="1" applyFill="1" applyBorder="1" applyAlignment="1">
      <alignment vertical="center"/>
    </xf>
    <xf numFmtId="164" fontId="62" fillId="29" borderId="38" xfId="205" applyFont="1" applyFill="1" applyBorder="1" applyAlignment="1">
      <alignment vertical="center"/>
    </xf>
    <xf numFmtId="164" fontId="29" fillId="30" borderId="38" xfId="205" applyFont="1" applyFill="1" applyBorder="1" applyAlignment="1">
      <alignment horizontal="center" vertical="center" wrapText="1"/>
    </xf>
    <xf numFmtId="165" fontId="29" fillId="0" borderId="0" xfId="205" applyNumberFormat="1" applyFont="1" applyAlignment="1">
      <alignment horizontal="center" vertical="center" wrapText="1"/>
    </xf>
    <xf numFmtId="0" fontId="7" fillId="0" borderId="0" xfId="0" applyFont="1" applyAlignment="1">
      <alignment horizontal="center" vertical="center" wrapText="1"/>
    </xf>
    <xf numFmtId="0" fontId="23" fillId="0" borderId="38" xfId="0" applyFont="1" applyFill="1" applyBorder="1" applyAlignment="1">
      <alignment horizontal="center" vertical="center"/>
    </xf>
    <xf numFmtId="0" fontId="23" fillId="0" borderId="0" xfId="0" applyFont="1" applyAlignment="1">
      <alignment horizontal="center" wrapText="1"/>
    </xf>
    <xf numFmtId="0" fontId="23" fillId="0" borderId="0" xfId="0" applyFont="1"/>
    <xf numFmtId="0" fontId="23" fillId="0" borderId="0" xfId="0" applyFont="1" applyBorder="1" applyAlignment="1">
      <alignment vertical="center"/>
    </xf>
    <xf numFmtId="0" fontId="23" fillId="0" borderId="0" xfId="0" applyFont="1" applyBorder="1"/>
    <xf numFmtId="0" fontId="23" fillId="0" borderId="0" xfId="0" applyFont="1" applyAlignment="1">
      <alignment horizontal="left"/>
    </xf>
    <xf numFmtId="0" fontId="23" fillId="0" borderId="0" xfId="0" applyFont="1" applyBorder="1" applyAlignment="1">
      <alignment horizontal="center" vertical="center"/>
    </xf>
    <xf numFmtId="164" fontId="24" fillId="0" borderId="0" xfId="205" applyFont="1"/>
    <xf numFmtId="4" fontId="24" fillId="0" borderId="0" xfId="0" applyNumberFormat="1" applyFont="1" applyBorder="1"/>
    <xf numFmtId="164" fontId="23" fillId="0" borderId="38" xfId="205" applyFont="1" applyFill="1" applyBorder="1"/>
    <xf numFmtId="0" fontId="23" fillId="0" borderId="0" xfId="0" applyFont="1" applyBorder="1" applyAlignment="1">
      <alignment horizontal="center"/>
    </xf>
    <xf numFmtId="4" fontId="23" fillId="0" borderId="0" xfId="194" applyNumberFormat="1" applyFont="1" applyAlignment="1">
      <alignment vertical="top"/>
    </xf>
    <xf numFmtId="0" fontId="23" fillId="0" borderId="38" xfId="0" applyFont="1" applyFill="1" applyBorder="1"/>
    <xf numFmtId="0" fontId="23" fillId="0" borderId="0" xfId="0" applyFont="1" applyFill="1"/>
    <xf numFmtId="49" fontId="23" fillId="0" borderId="0" xfId="0" applyNumberFormat="1" applyFont="1" applyBorder="1" applyAlignment="1">
      <alignment horizontal="left" vertical="top" wrapText="1"/>
    </xf>
    <xf numFmtId="0" fontId="23" fillId="0" borderId="0" xfId="0" quotePrefix="1" applyFont="1" applyAlignment="1">
      <alignment horizontal="center"/>
    </xf>
    <xf numFmtId="164" fontId="24" fillId="0" borderId="38" xfId="205" applyFont="1" applyBorder="1" applyAlignment="1"/>
    <xf numFmtId="0" fontId="23" fillId="0" borderId="38" xfId="0" applyFont="1" applyBorder="1"/>
    <xf numFmtId="0" fontId="23" fillId="0" borderId="0" xfId="0" applyFont="1" applyAlignment="1">
      <alignment vertical="center"/>
    </xf>
    <xf numFmtId="164" fontId="24" fillId="0" borderId="0" xfId="0" applyNumberFormat="1" applyFont="1"/>
    <xf numFmtId="164" fontId="23" fillId="0" borderId="0" xfId="205" applyFont="1" applyAlignment="1"/>
    <xf numFmtId="164" fontId="114" fillId="0" borderId="38" xfId="205" applyFont="1" applyFill="1" applyBorder="1" applyAlignment="1">
      <alignment horizontal="right" wrapText="1" shrinkToFit="1"/>
    </xf>
    <xf numFmtId="0" fontId="20" fillId="0" borderId="0" xfId="0" applyFont="1" applyAlignment="1">
      <alignment horizontal="left"/>
    </xf>
    <xf numFmtId="0" fontId="20" fillId="0" borderId="0" xfId="0" applyFont="1" applyAlignment="1">
      <alignment horizontal="center" wrapText="1"/>
    </xf>
    <xf numFmtId="0" fontId="66" fillId="0" borderId="0" xfId="0" applyFont="1"/>
    <xf numFmtId="164" fontId="20" fillId="0" borderId="0" xfId="205" applyFont="1" applyFill="1" applyAlignment="1"/>
    <xf numFmtId="164" fontId="20" fillId="0" borderId="0" xfId="205" applyFont="1" applyAlignment="1"/>
    <xf numFmtId="164" fontId="30" fillId="0" borderId="38" xfId="205" applyFont="1" applyBorder="1" applyAlignment="1"/>
    <xf numFmtId="164" fontId="20" fillId="0" borderId="38" xfId="205" applyFont="1" applyBorder="1" applyAlignment="1"/>
    <xf numFmtId="164" fontId="20" fillId="0" borderId="0" xfId="205" applyFont="1" applyBorder="1" applyAlignment="1"/>
    <xf numFmtId="164" fontId="30" fillId="0" borderId="0" xfId="0" applyNumberFormat="1" applyFont="1"/>
    <xf numFmtId="0" fontId="20" fillId="0" borderId="0" xfId="0" applyFont="1"/>
    <xf numFmtId="0" fontId="66" fillId="0" borderId="0" xfId="0" applyFont="1" applyFill="1"/>
    <xf numFmtId="0" fontId="20" fillId="0" borderId="38" xfId="0" applyFont="1" applyFill="1" applyBorder="1" applyAlignment="1">
      <alignment horizontal="center" vertical="center"/>
    </xf>
    <xf numFmtId="0" fontId="20" fillId="0" borderId="0" xfId="0" applyFont="1" applyAlignment="1">
      <alignment horizontal="center" vertical="center"/>
    </xf>
    <xf numFmtId="0" fontId="20" fillId="0" borderId="38" xfId="0" applyFont="1" applyFill="1" applyBorder="1"/>
    <xf numFmtId="0" fontId="20" fillId="0" borderId="39" xfId="0" applyFont="1" applyFill="1" applyBorder="1"/>
    <xf numFmtId="164" fontId="20" fillId="0" borderId="38" xfId="205" applyFont="1" applyFill="1" applyBorder="1"/>
    <xf numFmtId="164" fontId="30" fillId="0" borderId="0" xfId="205" applyFont="1"/>
    <xf numFmtId="0" fontId="20" fillId="0" borderId="0" xfId="0" applyFont="1" applyFill="1"/>
    <xf numFmtId="0" fontId="20" fillId="0" borderId="38" xfId="0" applyFont="1" applyBorder="1" applyAlignment="1">
      <alignment wrapText="1"/>
    </xf>
    <xf numFmtId="0" fontId="20" fillId="0" borderId="38" xfId="0" applyFont="1" applyFill="1" applyBorder="1" applyAlignment="1">
      <alignment wrapText="1"/>
    </xf>
    <xf numFmtId="0" fontId="20" fillId="0" borderId="0" xfId="0" applyFont="1" applyBorder="1" applyAlignment="1">
      <alignment wrapText="1"/>
    </xf>
    <xf numFmtId="164" fontId="30" fillId="0" borderId="0" xfId="0" applyNumberFormat="1" applyFont="1" applyFill="1"/>
    <xf numFmtId="0" fontId="20" fillId="0" borderId="38" xfId="0" applyFont="1" applyBorder="1" applyAlignment="1">
      <alignment horizontal="center"/>
    </xf>
    <xf numFmtId="164" fontId="29" fillId="0" borderId="38" xfId="205" applyFont="1" applyBorder="1" applyAlignment="1">
      <alignment horizontal="center" vertical="center"/>
    </xf>
    <xf numFmtId="164" fontId="29" fillId="0" borderId="0" xfId="205" applyFont="1" applyBorder="1" applyAlignment="1">
      <alignment horizontal="center" vertical="center"/>
    </xf>
    <xf numFmtId="164" fontId="31" fillId="0" borderId="40" xfId="205" applyNumberFormat="1" applyFont="1" applyBorder="1" applyAlignment="1">
      <alignment horizontal="center" vertical="center"/>
    </xf>
    <xf numFmtId="0" fontId="29" fillId="0" borderId="38" xfId="0" applyFont="1" applyBorder="1" applyAlignment="1">
      <alignment horizontal="center" vertical="center"/>
    </xf>
    <xf numFmtId="164" fontId="11" fillId="0" borderId="0" xfId="0" applyNumberFormat="1" applyFont="1" applyFill="1"/>
    <xf numFmtId="4" fontId="11" fillId="0" borderId="0" xfId="0" applyNumberFormat="1" applyFont="1" applyFill="1"/>
    <xf numFmtId="164" fontId="12" fillId="0" borderId="38" xfId="205" applyFont="1" applyFill="1" applyBorder="1" applyAlignment="1">
      <alignment vertical="center"/>
    </xf>
    <xf numFmtId="164" fontId="12" fillId="67" borderId="38" xfId="205" applyFont="1" applyFill="1" applyBorder="1" applyAlignment="1">
      <alignment vertical="center"/>
    </xf>
    <xf numFmtId="164" fontId="24" fillId="25" borderId="22" xfId="205" applyFont="1" applyFill="1" applyBorder="1" applyAlignment="1">
      <alignment horizontal="center"/>
    </xf>
    <xf numFmtId="164" fontId="24" fillId="25" borderId="26" xfId="205" applyFont="1" applyFill="1" applyBorder="1" applyAlignment="1">
      <alignment horizontal="center"/>
    </xf>
    <xf numFmtId="164" fontId="23" fillId="0" borderId="14" xfId="205" applyFont="1" applyFill="1" applyBorder="1" applyAlignment="1">
      <alignment horizontal="center"/>
    </xf>
    <xf numFmtId="0" fontId="23" fillId="27" borderId="29" xfId="0" applyFont="1" applyFill="1" applyBorder="1" applyAlignment="1">
      <alignment horizontal="center" vertical="center"/>
    </xf>
    <xf numFmtId="164" fontId="115" fillId="0" borderId="0" xfId="0" applyNumberFormat="1" applyFont="1" applyFill="1" applyAlignment="1">
      <alignment vertical="center"/>
    </xf>
    <xf numFmtId="164" fontId="117" fillId="0" borderId="38" xfId="205" applyFont="1" applyFill="1" applyBorder="1" applyAlignment="1">
      <alignment horizontal="center" vertical="center" wrapText="1"/>
    </xf>
    <xf numFmtId="3" fontId="23" fillId="25" borderId="14" xfId="0" applyNumberFormat="1" applyFont="1" applyFill="1" applyBorder="1" applyAlignment="1">
      <alignment horizontal="center" vertical="center"/>
    </xf>
    <xf numFmtId="164" fontId="31" fillId="0" borderId="40" xfId="205" applyNumberFormat="1" applyFont="1" applyFill="1" applyBorder="1" applyAlignment="1">
      <alignment vertical="center" wrapText="1"/>
    </xf>
    <xf numFmtId="0" fontId="7" fillId="0" borderId="38" xfId="0" quotePrefix="1" applyFont="1" applyFill="1" applyBorder="1" applyAlignment="1">
      <alignment horizontal="center" vertical="center" wrapText="1"/>
    </xf>
    <xf numFmtId="164" fontId="62" fillId="69" borderId="38" xfId="205" applyFont="1" applyFill="1" applyBorder="1" applyAlignment="1">
      <alignment horizontal="center" vertical="center"/>
    </xf>
    <xf numFmtId="164" fontId="31" fillId="0" borderId="38" xfId="205" applyFont="1" applyBorder="1" applyAlignment="1">
      <alignment horizontal="center" vertical="center"/>
    </xf>
    <xf numFmtId="164" fontId="118" fillId="29" borderId="38" xfId="205" applyFont="1" applyFill="1" applyBorder="1" applyAlignment="1">
      <alignment vertical="center"/>
    </xf>
    <xf numFmtId="164" fontId="24" fillId="0" borderId="16" xfId="205" applyFont="1" applyFill="1" applyBorder="1" applyAlignment="1">
      <alignment horizontal="center" wrapText="1" shrinkToFit="1"/>
    </xf>
    <xf numFmtId="164" fontId="24" fillId="0" borderId="25" xfId="205" applyFont="1" applyFill="1" applyBorder="1" applyAlignment="1">
      <alignment horizontal="center" wrapText="1" shrinkToFit="1"/>
    </xf>
    <xf numFmtId="164" fontId="17" fillId="0" borderId="47" xfId="205" applyNumberFormat="1" applyFont="1" applyFill="1" applyBorder="1" applyAlignment="1"/>
    <xf numFmtId="164" fontId="23" fillId="0" borderId="19" xfId="205" applyNumberFormat="1" applyFont="1" applyFill="1" applyBorder="1" applyAlignment="1"/>
    <xf numFmtId="164" fontId="24" fillId="0" borderId="23" xfId="205" applyFont="1" applyFill="1" applyBorder="1" applyAlignment="1">
      <alignment horizontal="center" wrapText="1" shrinkToFit="1"/>
    </xf>
    <xf numFmtId="0" fontId="23" fillId="0" borderId="42" xfId="0" applyFont="1" applyFill="1" applyBorder="1" applyAlignment="1">
      <alignment horizontal="center" vertical="center"/>
    </xf>
    <xf numFmtId="0" fontId="68" fillId="0" borderId="0" xfId="0" applyFont="1" applyAlignment="1">
      <alignment horizontal="left"/>
    </xf>
    <xf numFmtId="164" fontId="24" fillId="25" borderId="18" xfId="205" applyFont="1" applyFill="1" applyBorder="1" applyAlignment="1">
      <alignment horizontal="center"/>
    </xf>
    <xf numFmtId="164" fontId="24" fillId="25" borderId="20" xfId="205" applyFont="1" applyFill="1" applyBorder="1" applyAlignment="1">
      <alignment horizontal="center"/>
    </xf>
    <xf numFmtId="164" fontId="24" fillId="25" borderId="27" xfId="205" applyFont="1" applyFill="1" applyBorder="1" applyAlignment="1">
      <alignment horizontal="center"/>
    </xf>
    <xf numFmtId="164" fontId="24" fillId="0" borderId="33" xfId="205" applyFont="1" applyFill="1" applyBorder="1" applyAlignment="1">
      <alignment horizontal="center"/>
    </xf>
    <xf numFmtId="164" fontId="23" fillId="25" borderId="14" xfId="205" applyFont="1" applyFill="1" applyBorder="1" applyAlignment="1">
      <alignment horizontal="center"/>
    </xf>
    <xf numFmtId="164" fontId="23" fillId="0" borderId="33" xfId="205" applyFont="1" applyFill="1" applyBorder="1" applyAlignment="1">
      <alignment horizontal="center"/>
    </xf>
    <xf numFmtId="164" fontId="23" fillId="25" borderId="31" xfId="205" applyFont="1" applyFill="1" applyBorder="1" applyAlignment="1">
      <alignment horizontal="center"/>
    </xf>
    <xf numFmtId="164" fontId="23" fillId="25" borderId="11" xfId="205" applyFont="1" applyFill="1" applyBorder="1" applyAlignment="1">
      <alignment horizontal="center"/>
    </xf>
    <xf numFmtId="164" fontId="23" fillId="0" borderId="31" xfId="205" applyFont="1" applyFill="1" applyBorder="1" applyAlignment="1">
      <alignment horizontal="center"/>
    </xf>
    <xf numFmtId="164" fontId="23" fillId="25" borderId="29" xfId="205" applyFont="1" applyFill="1" applyBorder="1" applyAlignment="1">
      <alignment horizontal="center"/>
    </xf>
    <xf numFmtId="164" fontId="23" fillId="0" borderId="36" xfId="205" applyFont="1" applyFill="1" applyBorder="1" applyAlignment="1">
      <alignment horizontal="center"/>
    </xf>
    <xf numFmtId="164" fontId="23" fillId="25" borderId="20" xfId="205" applyFont="1" applyFill="1" applyBorder="1" applyAlignment="1">
      <alignment horizontal="center"/>
    </xf>
    <xf numFmtId="0" fontId="32" fillId="0" borderId="38" xfId="0" applyNumberFormat="1" applyFont="1" applyFill="1" applyBorder="1" applyAlignment="1">
      <alignment horizontal="left" vertical="center" wrapText="1"/>
    </xf>
    <xf numFmtId="0" fontId="32" fillId="0" borderId="38" xfId="0" applyNumberFormat="1" applyFont="1" applyBorder="1" applyAlignment="1">
      <alignment horizontal="center" vertical="center" wrapText="1"/>
    </xf>
    <xf numFmtId="0" fontId="32" fillId="0" borderId="38" xfId="0" applyNumberFormat="1" applyFont="1" applyFill="1" applyBorder="1" applyAlignment="1">
      <alignment vertical="center" wrapText="1"/>
    </xf>
    <xf numFmtId="0" fontId="3" fillId="0" borderId="38" xfId="0" applyFont="1" applyFill="1" applyBorder="1" applyAlignment="1">
      <alignment horizontal="left" vertical="center" wrapText="1"/>
    </xf>
    <xf numFmtId="0" fontId="32" fillId="0" borderId="38" xfId="0" applyNumberFormat="1" applyFont="1" applyBorder="1" applyAlignment="1">
      <alignment vertical="center" wrapText="1"/>
    </xf>
    <xf numFmtId="0" fontId="3" fillId="0" borderId="38" xfId="0" applyNumberFormat="1" applyFont="1" applyFill="1" applyBorder="1" applyAlignment="1">
      <alignment horizontal="left" vertical="center" wrapText="1"/>
    </xf>
    <xf numFmtId="0" fontId="32" fillId="0" borderId="38" xfId="0" applyFont="1" applyFill="1" applyBorder="1" applyAlignment="1">
      <alignment horizontal="left" vertical="center" wrapText="1"/>
    </xf>
    <xf numFmtId="0" fontId="32" fillId="0" borderId="38" xfId="0" applyFont="1" applyFill="1" applyBorder="1" applyAlignment="1">
      <alignment vertical="center" wrapText="1"/>
    </xf>
    <xf numFmtId="164" fontId="62" fillId="0" borderId="38" xfId="205" applyFont="1" applyFill="1" applyBorder="1" applyAlignment="1">
      <alignment vertical="center"/>
    </xf>
    <xf numFmtId="165" fontId="31" fillId="0" borderId="0" xfId="205" applyNumberFormat="1" applyFont="1" applyFill="1" applyAlignment="1">
      <alignment horizontal="center" vertical="center" wrapText="1"/>
    </xf>
    <xf numFmtId="4" fontId="22" fillId="0" borderId="0" xfId="183" applyNumberFormat="1" applyFont="1" applyFill="1" applyBorder="1" applyAlignment="1">
      <alignment horizontal="right" vertical="top" shrinkToFit="1"/>
    </xf>
    <xf numFmtId="164" fontId="21" fillId="0" borderId="28" xfId="205" applyNumberFormat="1" applyFont="1" applyFill="1" applyBorder="1" applyAlignment="1">
      <alignment horizontal="center"/>
    </xf>
    <xf numFmtId="164" fontId="115" fillId="25" borderId="16" xfId="205" applyFont="1" applyFill="1" applyBorder="1" applyAlignment="1">
      <alignment horizontal="center"/>
    </xf>
    <xf numFmtId="164" fontId="115" fillId="25" borderId="21" xfId="205" applyFont="1" applyFill="1" applyBorder="1" applyAlignment="1">
      <alignment horizontal="center"/>
    </xf>
    <xf numFmtId="164" fontId="115" fillId="0" borderId="0" xfId="0" applyNumberFormat="1" applyFont="1" applyFill="1" applyBorder="1" applyAlignment="1">
      <alignment vertical="center"/>
    </xf>
    <xf numFmtId="0" fontId="7" fillId="0" borderId="0" xfId="0" applyFont="1" applyFill="1" applyAlignment="1">
      <alignment horizontal="center" vertical="center"/>
    </xf>
    <xf numFmtId="0" fontId="7" fillId="0" borderId="0" xfId="0" applyFont="1" applyAlignment="1">
      <alignment vertical="center"/>
    </xf>
    <xf numFmtId="166" fontId="27" fillId="0" borderId="38" xfId="205" applyNumberFormat="1" applyFont="1" applyFill="1" applyBorder="1" applyAlignment="1">
      <alignment vertical="center"/>
    </xf>
    <xf numFmtId="166" fontId="27" fillId="25" borderId="38" xfId="205" applyNumberFormat="1" applyFont="1" applyFill="1" applyBorder="1" applyAlignment="1">
      <alignment vertical="center"/>
    </xf>
    <xf numFmtId="166" fontId="27" fillId="0" borderId="38" xfId="0" applyNumberFormat="1" applyFont="1" applyBorder="1" applyAlignment="1">
      <alignment vertical="center"/>
    </xf>
    <xf numFmtId="0" fontId="60" fillId="67" borderId="38" xfId="0" applyFont="1" applyFill="1" applyBorder="1" applyAlignment="1">
      <alignment horizontal="center" vertical="center" wrapText="1"/>
    </xf>
    <xf numFmtId="164" fontId="30" fillId="69" borderId="38" xfId="205" applyFont="1" applyFill="1" applyBorder="1" applyAlignment="1"/>
    <xf numFmtId="164" fontId="117" fillId="0" borderId="38" xfId="205" applyFont="1" applyFill="1" applyBorder="1" applyAlignment="1">
      <alignment vertical="center"/>
    </xf>
    <xf numFmtId="164" fontId="24" fillId="0" borderId="18" xfId="205" applyFont="1" applyFill="1" applyBorder="1" applyAlignment="1">
      <alignment horizontal="center"/>
    </xf>
    <xf numFmtId="164" fontId="24" fillId="0" borderId="37" xfId="205" applyFont="1" applyFill="1" applyBorder="1" applyAlignment="1">
      <alignment horizontal="center"/>
    </xf>
    <xf numFmtId="4" fontId="20" fillId="0" borderId="0" xfId="192" applyNumberFormat="1" applyFont="1" applyBorder="1" applyAlignment="1">
      <alignment horizontal="right" shrinkToFit="1"/>
    </xf>
    <xf numFmtId="4" fontId="20" fillId="0" borderId="0" xfId="192" applyNumberFormat="1" applyFont="1" applyFill="1" applyBorder="1" applyAlignment="1">
      <alignment horizontal="right" shrinkToFit="1"/>
    </xf>
    <xf numFmtId="164" fontId="20" fillId="0" borderId="0" xfId="205" applyFont="1" applyBorder="1" applyAlignment="1">
      <alignment horizontal="right" wrapText="1" shrinkToFit="1"/>
    </xf>
    <xf numFmtId="164" fontId="30" fillId="0" borderId="0" xfId="205" applyFont="1" applyBorder="1" applyAlignment="1"/>
    <xf numFmtId="164" fontId="24" fillId="0" borderId="16" xfId="205" applyFont="1" applyFill="1" applyBorder="1" applyAlignment="1">
      <alignment horizontal="center"/>
    </xf>
    <xf numFmtId="0" fontId="56" fillId="0" borderId="0" xfId="0" applyFont="1" applyFill="1" applyAlignment="1"/>
    <xf numFmtId="164" fontId="62" fillId="69" borderId="38" xfId="205" applyFont="1" applyFill="1" applyBorder="1" applyAlignment="1">
      <alignment vertical="center"/>
    </xf>
    <xf numFmtId="164" fontId="24" fillId="68" borderId="16" xfId="205" applyFont="1" applyFill="1" applyBorder="1" applyAlignment="1">
      <alignment horizontal="center"/>
    </xf>
    <xf numFmtId="164" fontId="24" fillId="68" borderId="17" xfId="205" applyFont="1" applyFill="1" applyBorder="1" applyAlignment="1">
      <alignment horizontal="center"/>
    </xf>
    <xf numFmtId="164" fontId="24" fillId="68" borderId="22" xfId="205" applyFont="1" applyFill="1" applyBorder="1" applyAlignment="1">
      <alignment horizontal="center"/>
    </xf>
    <xf numFmtId="164" fontId="24" fillId="68" borderId="26" xfId="205" applyFont="1" applyFill="1" applyBorder="1" applyAlignment="1">
      <alignment horizontal="center"/>
    </xf>
    <xf numFmtId="164" fontId="24" fillId="68" borderId="21" xfId="205" applyFont="1" applyFill="1" applyBorder="1" applyAlignment="1">
      <alignment horizontal="center"/>
    </xf>
    <xf numFmtId="164" fontId="24" fillId="68" borderId="25" xfId="205" applyFont="1" applyFill="1" applyBorder="1" applyAlignment="1">
      <alignment horizontal="center"/>
    </xf>
    <xf numFmtId="164" fontId="23" fillId="0" borderId="44" xfId="205" applyFont="1" applyFill="1" applyBorder="1" applyAlignment="1">
      <alignment horizontal="center"/>
    </xf>
    <xf numFmtId="164" fontId="23" fillId="0" borderId="43" xfId="205" applyFont="1" applyFill="1" applyBorder="1" applyAlignment="1">
      <alignment horizontal="center"/>
    </xf>
    <xf numFmtId="164" fontId="23" fillId="0" borderId="30" xfId="205" applyFont="1" applyFill="1" applyBorder="1" applyAlignment="1">
      <alignment horizontal="center"/>
    </xf>
    <xf numFmtId="164" fontId="23" fillId="0" borderId="12" xfId="205" applyFont="1" applyFill="1" applyBorder="1" applyAlignment="1">
      <alignment horizontal="center"/>
    </xf>
    <xf numFmtId="164" fontId="24" fillId="0" borderId="17" xfId="205" applyFont="1" applyFill="1" applyBorder="1" applyAlignment="1">
      <alignment horizontal="center"/>
    </xf>
    <xf numFmtId="164" fontId="24" fillId="27" borderId="17" xfId="205" applyFont="1" applyFill="1" applyBorder="1" applyAlignment="1">
      <alignment horizontal="center"/>
    </xf>
    <xf numFmtId="164" fontId="24" fillId="27" borderId="16" xfId="205" applyFont="1" applyFill="1" applyBorder="1" applyAlignment="1">
      <alignment horizontal="center"/>
    </xf>
    <xf numFmtId="164" fontId="23" fillId="25" borderId="37" xfId="205" applyFont="1" applyFill="1" applyBorder="1" applyAlignment="1">
      <alignment horizontal="center"/>
    </xf>
    <xf numFmtId="164" fontId="24" fillId="27" borderId="18" xfId="205" applyFont="1" applyFill="1" applyBorder="1" applyAlignment="1">
      <alignment horizontal="center"/>
    </xf>
    <xf numFmtId="164" fontId="23" fillId="27" borderId="16" xfId="205" applyFont="1" applyFill="1" applyBorder="1" applyAlignment="1">
      <alignment horizontal="center"/>
    </xf>
    <xf numFmtId="164" fontId="115" fillId="0" borderId="37" xfId="205" applyFont="1" applyFill="1" applyBorder="1" applyAlignment="1">
      <alignment horizontal="center"/>
    </xf>
    <xf numFmtId="164" fontId="24" fillId="68" borderId="37" xfId="205" applyFont="1" applyFill="1" applyBorder="1" applyAlignment="1">
      <alignment horizontal="center"/>
    </xf>
    <xf numFmtId="164" fontId="24" fillId="27" borderId="33" xfId="205" applyFont="1" applyFill="1" applyBorder="1" applyAlignment="1">
      <alignment horizontal="center"/>
    </xf>
    <xf numFmtId="164" fontId="24" fillId="68" borderId="33" xfId="205" applyFont="1" applyFill="1" applyBorder="1" applyAlignment="1">
      <alignment horizontal="center"/>
    </xf>
    <xf numFmtId="164" fontId="23" fillId="68" borderId="16" xfId="205" applyFont="1" applyFill="1" applyBorder="1" applyAlignment="1">
      <alignment horizontal="center"/>
    </xf>
    <xf numFmtId="164" fontId="23" fillId="68" borderId="17" xfId="205" applyFont="1" applyFill="1" applyBorder="1" applyAlignment="1">
      <alignment horizontal="center"/>
    </xf>
    <xf numFmtId="164" fontId="24" fillId="0" borderId="23" xfId="205" applyFont="1" applyFill="1" applyBorder="1" applyAlignment="1">
      <alignment horizontal="center"/>
    </xf>
    <xf numFmtId="164" fontId="24" fillId="0" borderId="21" xfId="205" applyFont="1" applyFill="1" applyBorder="1" applyAlignment="1">
      <alignment horizontal="center"/>
    </xf>
    <xf numFmtId="164" fontId="23" fillId="0" borderId="18" xfId="205" applyFont="1" applyFill="1" applyBorder="1" applyAlignment="1">
      <alignment horizontal="center"/>
    </xf>
    <xf numFmtId="164" fontId="23" fillId="27" borderId="19" xfId="205" applyFont="1" applyFill="1" applyBorder="1" applyAlignment="1">
      <alignment horizontal="center"/>
    </xf>
    <xf numFmtId="164" fontId="23" fillId="27" borderId="33" xfId="205" applyFont="1" applyFill="1" applyBorder="1" applyAlignment="1">
      <alignment horizontal="center"/>
    </xf>
    <xf numFmtId="164" fontId="23" fillId="27" borderId="21" xfId="205" applyFont="1" applyFill="1" applyBorder="1" applyAlignment="1">
      <alignment horizontal="center"/>
    </xf>
    <xf numFmtId="164" fontId="24" fillId="0" borderId="22" xfId="205" applyFont="1" applyFill="1" applyBorder="1" applyAlignment="1">
      <alignment horizontal="center"/>
    </xf>
    <xf numFmtId="164" fontId="24" fillId="68" borderId="20" xfId="205" applyFont="1" applyFill="1" applyBorder="1" applyAlignment="1">
      <alignment horizontal="center"/>
    </xf>
    <xf numFmtId="164" fontId="24" fillId="0" borderId="20" xfId="205" applyFont="1" applyFill="1" applyBorder="1" applyAlignment="1">
      <alignment horizontal="center"/>
    </xf>
    <xf numFmtId="164" fontId="24" fillId="27" borderId="22" xfId="205" applyFont="1" applyFill="1" applyBorder="1" applyAlignment="1">
      <alignment horizontal="center"/>
    </xf>
    <xf numFmtId="164" fontId="24" fillId="27" borderId="21" xfId="205" applyFont="1" applyFill="1" applyBorder="1" applyAlignment="1">
      <alignment horizontal="center"/>
    </xf>
    <xf numFmtId="164" fontId="23" fillId="0" borderId="21" xfId="205" applyFont="1" applyFill="1" applyBorder="1" applyAlignment="1">
      <alignment horizontal="center"/>
    </xf>
    <xf numFmtId="164" fontId="24" fillId="27" borderId="20" xfId="205" applyFont="1" applyFill="1" applyBorder="1" applyAlignment="1">
      <alignment horizontal="center"/>
    </xf>
    <xf numFmtId="164" fontId="23" fillId="68" borderId="21" xfId="205" applyFont="1" applyFill="1" applyBorder="1" applyAlignment="1">
      <alignment horizontal="center"/>
    </xf>
    <xf numFmtId="164" fontId="23" fillId="68" borderId="22" xfId="205" applyFont="1" applyFill="1" applyBorder="1" applyAlignment="1">
      <alignment horizontal="center"/>
    </xf>
    <xf numFmtId="164" fontId="23" fillId="0" borderId="20" xfId="205" applyFont="1" applyFill="1" applyBorder="1" applyAlignment="1">
      <alignment horizontal="center"/>
    </xf>
    <xf numFmtId="164" fontId="23" fillId="27" borderId="23" xfId="205" applyFont="1" applyFill="1" applyBorder="1" applyAlignment="1">
      <alignment horizontal="center"/>
    </xf>
    <xf numFmtId="164" fontId="24" fillId="0" borderId="26" xfId="205" applyFont="1" applyFill="1" applyBorder="1" applyAlignment="1">
      <alignment horizontal="center"/>
    </xf>
    <xf numFmtId="164" fontId="24" fillId="0" borderId="25" xfId="205" applyFont="1" applyFill="1" applyBorder="1" applyAlignment="1">
      <alignment horizontal="center"/>
    </xf>
    <xf numFmtId="164" fontId="24" fillId="0" borderId="27" xfId="205" applyFont="1" applyFill="1" applyBorder="1" applyAlignment="1">
      <alignment horizontal="center"/>
    </xf>
    <xf numFmtId="164" fontId="24" fillId="27" borderId="26" xfId="205" applyFont="1" applyFill="1" applyBorder="1" applyAlignment="1">
      <alignment horizontal="center"/>
    </xf>
    <xf numFmtId="164" fontId="24" fillId="27" borderId="25" xfId="205" applyFont="1" applyFill="1" applyBorder="1" applyAlignment="1">
      <alignment horizontal="center"/>
    </xf>
    <xf numFmtId="164" fontId="24" fillId="27" borderId="27" xfId="205" applyFont="1" applyFill="1" applyBorder="1" applyAlignment="1">
      <alignment horizontal="center"/>
    </xf>
    <xf numFmtId="164" fontId="23" fillId="27" borderId="25" xfId="205" applyFont="1" applyFill="1" applyBorder="1" applyAlignment="1">
      <alignment horizontal="center"/>
    </xf>
    <xf numFmtId="164" fontId="23" fillId="68" borderId="25" xfId="205" applyFont="1" applyFill="1" applyBorder="1" applyAlignment="1">
      <alignment horizontal="center"/>
    </xf>
    <xf numFmtId="164" fontId="23" fillId="68" borderId="26" xfId="205" applyFont="1" applyFill="1" applyBorder="1" applyAlignment="1">
      <alignment horizontal="center"/>
    </xf>
    <xf numFmtId="164" fontId="23" fillId="0" borderId="27" xfId="205" applyFont="1" applyFill="1" applyBorder="1" applyAlignment="1">
      <alignment horizontal="center"/>
    </xf>
    <xf numFmtId="164" fontId="23" fillId="27" borderId="28" xfId="205" applyFont="1" applyFill="1" applyBorder="1" applyAlignment="1">
      <alignment horizontal="center"/>
    </xf>
    <xf numFmtId="164" fontId="23" fillId="0" borderId="24" xfId="205" applyFont="1" applyFill="1" applyBorder="1" applyAlignment="1"/>
    <xf numFmtId="164" fontId="23" fillId="0" borderId="29" xfId="205" applyFont="1" applyFill="1" applyBorder="1" applyAlignment="1"/>
    <xf numFmtId="164" fontId="23" fillId="0" borderId="31" xfId="205" applyFont="1" applyFill="1" applyBorder="1" applyAlignment="1"/>
    <xf numFmtId="164" fontId="23" fillId="27" borderId="29" xfId="205" applyFont="1" applyFill="1" applyBorder="1" applyAlignment="1"/>
    <xf numFmtId="164" fontId="23" fillId="0" borderId="14" xfId="205" applyFont="1" applyFill="1" applyBorder="1" applyAlignment="1"/>
    <xf numFmtId="164" fontId="23" fillId="68" borderId="14" xfId="205" applyFont="1" applyFill="1" applyBorder="1" applyAlignment="1"/>
    <xf numFmtId="164" fontId="23" fillId="68" borderId="29" xfId="205" applyFont="1" applyFill="1" applyBorder="1" applyAlignment="1"/>
    <xf numFmtId="164" fontId="23" fillId="68" borderId="31" xfId="205" applyFont="1" applyFill="1" applyBorder="1" applyAlignment="1"/>
    <xf numFmtId="164" fontId="23" fillId="0" borderId="36" xfId="205" applyFont="1" applyFill="1" applyBorder="1" applyAlignment="1"/>
    <xf numFmtId="164" fontId="23" fillId="27" borderId="13" xfId="205" applyFont="1" applyFill="1" applyBorder="1" applyAlignment="1"/>
    <xf numFmtId="164" fontId="23" fillId="27" borderId="31" xfId="205" applyFont="1" applyFill="1" applyBorder="1" applyAlignment="1"/>
    <xf numFmtId="164" fontId="23" fillId="0" borderId="16" xfId="205" applyFont="1" applyFill="1" applyBorder="1" applyAlignment="1"/>
    <xf numFmtId="164" fontId="23" fillId="0" borderId="33" xfId="205" applyFont="1" applyFill="1" applyBorder="1" applyAlignment="1"/>
    <xf numFmtId="164" fontId="23" fillId="27" borderId="33" xfId="205" applyFont="1" applyFill="1" applyBorder="1" applyAlignment="1"/>
    <xf numFmtId="164" fontId="23" fillId="68" borderId="33" xfId="205" applyFont="1" applyFill="1" applyBorder="1" applyAlignment="1"/>
    <xf numFmtId="164" fontId="24" fillId="68" borderId="32" xfId="205" applyFont="1" applyFill="1" applyBorder="1" applyAlignment="1">
      <alignment horizontal="center"/>
    </xf>
    <xf numFmtId="164" fontId="23" fillId="0" borderId="37" xfId="205" applyFont="1" applyFill="1" applyBorder="1" applyAlignment="1"/>
    <xf numFmtId="164" fontId="23" fillId="27" borderId="16" xfId="205" applyFont="1" applyFill="1" applyBorder="1" applyAlignment="1"/>
    <xf numFmtId="164" fontId="23" fillId="0" borderId="15" xfId="205" applyFont="1" applyFill="1" applyBorder="1" applyAlignment="1"/>
    <xf numFmtId="164" fontId="23" fillId="68" borderId="11" xfId="205" applyFont="1" applyFill="1" applyBorder="1" applyAlignment="1"/>
    <xf numFmtId="164" fontId="23" fillId="0" borderId="11" xfId="205" applyFont="1" applyFill="1" applyBorder="1" applyAlignment="1"/>
    <xf numFmtId="164" fontId="23" fillId="27" borderId="11" xfId="205" applyFont="1" applyFill="1" applyBorder="1" applyAlignment="1"/>
    <xf numFmtId="164" fontId="23" fillId="0" borderId="43" xfId="205" applyFont="1" applyFill="1" applyBorder="1" applyAlignment="1"/>
    <xf numFmtId="164" fontId="23" fillId="0" borderId="15" xfId="205" applyFont="1" applyFill="1" applyBorder="1" applyAlignment="1">
      <alignment horizontal="center"/>
    </xf>
    <xf numFmtId="164" fontId="23" fillId="0" borderId="44" xfId="205" applyFont="1" applyFill="1" applyBorder="1" applyAlignment="1"/>
    <xf numFmtId="164" fontId="23" fillId="0" borderId="24" xfId="205" applyFont="1" applyFill="1" applyBorder="1" applyAlignment="1">
      <alignment horizontal="center"/>
    </xf>
    <xf numFmtId="164" fontId="23" fillId="25" borderId="24" xfId="205" applyFont="1" applyFill="1" applyBorder="1" applyAlignment="1">
      <alignment horizontal="center"/>
    </xf>
    <xf numFmtId="164" fontId="23" fillId="25" borderId="30" xfId="205" applyFont="1" applyFill="1" applyBorder="1" applyAlignment="1">
      <alignment horizontal="center"/>
    </xf>
    <xf numFmtId="164" fontId="23" fillId="27" borderId="29" xfId="205" applyFont="1" applyFill="1" applyBorder="1" applyAlignment="1">
      <alignment horizontal="center"/>
    </xf>
    <xf numFmtId="164" fontId="23" fillId="27" borderId="14" xfId="205" applyFont="1" applyFill="1" applyBorder="1" applyAlignment="1">
      <alignment horizontal="center"/>
    </xf>
    <xf numFmtId="164" fontId="23" fillId="27" borderId="24" xfId="205" applyFont="1" applyFill="1" applyBorder="1" applyAlignment="1">
      <alignment horizontal="center"/>
    </xf>
    <xf numFmtId="164" fontId="23" fillId="68" borderId="29" xfId="205" applyFont="1" applyFill="1" applyBorder="1" applyAlignment="1">
      <alignment horizontal="center"/>
    </xf>
    <xf numFmtId="164" fontId="23" fillId="68" borderId="44" xfId="205" applyFont="1" applyFill="1" applyBorder="1" applyAlignment="1">
      <alignment horizontal="center"/>
    </xf>
    <xf numFmtId="164" fontId="23" fillId="68" borderId="24" xfId="205" applyFont="1" applyFill="1" applyBorder="1" applyAlignment="1">
      <alignment horizontal="center"/>
    </xf>
    <xf numFmtId="164" fontId="24" fillId="0" borderId="16" xfId="205" applyFont="1" applyFill="1" applyBorder="1" applyAlignment="1">
      <alignment horizontal="center" wrapText="1"/>
    </xf>
    <xf numFmtId="164" fontId="24" fillId="27" borderId="18" xfId="205" applyFont="1" applyFill="1" applyBorder="1" applyAlignment="1">
      <alignment horizontal="center" wrapText="1"/>
    </xf>
    <xf numFmtId="164" fontId="24" fillId="27" borderId="16" xfId="205" applyFont="1" applyFill="1" applyBorder="1" applyAlignment="1">
      <alignment horizontal="center" wrapText="1"/>
    </xf>
    <xf numFmtId="164" fontId="24" fillId="0" borderId="32" xfId="205" applyFont="1" applyFill="1" applyBorder="1" applyAlignment="1">
      <alignment horizontal="center"/>
    </xf>
    <xf numFmtId="164" fontId="24" fillId="69" borderId="16" xfId="205" applyFont="1" applyFill="1" applyBorder="1" applyAlignment="1">
      <alignment horizontal="center"/>
    </xf>
    <xf numFmtId="164" fontId="115" fillId="25" borderId="33" xfId="205" applyFont="1" applyFill="1" applyBorder="1" applyAlignment="1">
      <alignment horizontal="center"/>
    </xf>
    <xf numFmtId="164" fontId="24" fillId="27" borderId="17" xfId="205" applyFont="1" applyFill="1" applyBorder="1" applyAlignment="1">
      <alignment horizontal="center" wrapText="1"/>
    </xf>
    <xf numFmtId="164" fontId="24" fillId="0" borderId="21" xfId="205" applyFont="1" applyFill="1" applyBorder="1" applyAlignment="1">
      <alignment horizontal="center" wrapText="1"/>
    </xf>
    <xf numFmtId="164" fontId="24" fillId="27" borderId="21" xfId="205" applyFont="1" applyFill="1" applyBorder="1" applyAlignment="1">
      <alignment horizontal="center" wrapText="1"/>
    </xf>
    <xf numFmtId="164" fontId="24" fillId="27" borderId="20" xfId="205" applyFont="1" applyFill="1" applyBorder="1" applyAlignment="1">
      <alignment horizontal="center" wrapText="1"/>
    </xf>
    <xf numFmtId="164" fontId="23" fillId="25" borderId="21" xfId="205" applyFont="1" applyFill="1" applyBorder="1" applyAlignment="1">
      <alignment horizontal="center" wrapText="1" shrinkToFit="1"/>
    </xf>
    <xf numFmtId="164" fontId="23" fillId="25" borderId="22" xfId="205" applyFont="1" applyFill="1" applyBorder="1" applyAlignment="1">
      <alignment horizontal="center" wrapText="1" shrinkToFit="1"/>
    </xf>
    <xf numFmtId="164" fontId="23" fillId="25" borderId="41" xfId="205" applyFont="1" applyFill="1" applyBorder="1" applyAlignment="1">
      <alignment horizontal="center" wrapText="1" shrinkToFit="1"/>
    </xf>
    <xf numFmtId="164" fontId="23" fillId="25" borderId="20" xfId="205" applyFont="1" applyFill="1" applyBorder="1" applyAlignment="1">
      <alignment horizontal="center" wrapText="1" shrinkToFit="1"/>
    </xf>
    <xf numFmtId="164" fontId="24" fillId="69" borderId="21" xfId="205" applyFont="1" applyFill="1" applyBorder="1" applyAlignment="1">
      <alignment horizontal="center"/>
    </xf>
    <xf numFmtId="164" fontId="24" fillId="27" borderId="22" xfId="205" applyFont="1" applyFill="1" applyBorder="1" applyAlignment="1">
      <alignment horizontal="center" wrapText="1"/>
    </xf>
    <xf numFmtId="164" fontId="23" fillId="0" borderId="23" xfId="205" applyFont="1" applyFill="1" applyBorder="1" applyAlignment="1">
      <alignment horizontal="center" shrinkToFit="1"/>
    </xf>
    <xf numFmtId="164" fontId="23" fillId="0" borderId="13" xfId="205" applyFont="1" applyFill="1" applyBorder="1" applyAlignment="1">
      <alignment horizontal="center"/>
    </xf>
    <xf numFmtId="164" fontId="23" fillId="27" borderId="14" xfId="205" applyFont="1" applyFill="1" applyBorder="1" applyAlignment="1">
      <alignment horizontal="center" wrapText="1"/>
    </xf>
    <xf numFmtId="164" fontId="23" fillId="27" borderId="30" xfId="205" applyFont="1" applyFill="1" applyBorder="1" applyAlignment="1">
      <alignment horizontal="center"/>
    </xf>
    <xf numFmtId="164" fontId="23" fillId="27" borderId="31" xfId="205" applyFont="1" applyFill="1" applyBorder="1" applyAlignment="1">
      <alignment horizontal="center"/>
    </xf>
    <xf numFmtId="164" fontId="23" fillId="25" borderId="13" xfId="205" applyFont="1" applyFill="1" applyBorder="1" applyAlignment="1">
      <alignment horizontal="center"/>
    </xf>
    <xf numFmtId="164" fontId="23" fillId="69" borderId="29" xfId="205" applyFont="1" applyFill="1" applyBorder="1" applyAlignment="1">
      <alignment horizontal="center"/>
    </xf>
    <xf numFmtId="164" fontId="23" fillId="69" borderId="14" xfId="205" applyFont="1" applyFill="1" applyBorder="1" applyAlignment="1">
      <alignment horizontal="center"/>
    </xf>
    <xf numFmtId="164" fontId="23" fillId="0" borderId="0" xfId="205" applyFont="1" applyFill="1" applyBorder="1" applyAlignment="1">
      <alignment horizontal="center"/>
    </xf>
    <xf numFmtId="164" fontId="23" fillId="25" borderId="36" xfId="205" applyFont="1" applyFill="1" applyBorder="1" applyAlignment="1">
      <alignment horizontal="center"/>
    </xf>
    <xf numFmtId="164" fontId="23" fillId="0" borderId="37" xfId="205" applyFont="1" applyFill="1" applyBorder="1" applyAlignment="1">
      <alignment horizontal="center"/>
    </xf>
    <xf numFmtId="164" fontId="23" fillId="69" borderId="33" xfId="205" applyFont="1" applyFill="1" applyBorder="1" applyAlignment="1">
      <alignment horizontal="center"/>
    </xf>
    <xf numFmtId="164" fontId="23" fillId="25" borderId="0" xfId="205" applyFont="1" applyFill="1" applyBorder="1" applyAlignment="1">
      <alignment horizontal="center"/>
    </xf>
    <xf numFmtId="164" fontId="24" fillId="27" borderId="23" xfId="205" applyFont="1" applyFill="1" applyBorder="1" applyAlignment="1">
      <alignment horizontal="center" wrapText="1"/>
    </xf>
    <xf numFmtId="164" fontId="23" fillId="27" borderId="21" xfId="205" applyFont="1" applyFill="1" applyBorder="1" applyAlignment="1">
      <alignment horizontal="center" wrapText="1"/>
    </xf>
    <xf numFmtId="164" fontId="23" fillId="27" borderId="11" xfId="205" applyFont="1" applyFill="1" applyBorder="1" applyAlignment="1">
      <alignment horizontal="center"/>
    </xf>
    <xf numFmtId="164" fontId="23" fillId="69" borderId="11" xfId="205" applyFont="1" applyFill="1" applyBorder="1" applyAlignment="1">
      <alignment horizontal="center"/>
    </xf>
    <xf numFmtId="164" fontId="23" fillId="27" borderId="12" xfId="205" applyFont="1" applyFill="1" applyBorder="1" applyAlignment="1">
      <alignment horizontal="center"/>
    </xf>
    <xf numFmtId="164" fontId="23" fillId="25" borderId="15" xfId="205" applyFont="1" applyFill="1" applyBorder="1" applyAlignment="1">
      <alignment horizontal="center"/>
    </xf>
    <xf numFmtId="164" fontId="23" fillId="25" borderId="34" xfId="205" applyFont="1" applyFill="1" applyBorder="1" applyAlignment="1">
      <alignment horizontal="center"/>
    </xf>
    <xf numFmtId="164" fontId="23" fillId="25" borderId="12" xfId="205" applyFont="1" applyFill="1" applyBorder="1" applyAlignment="1">
      <alignment horizontal="center"/>
    </xf>
    <xf numFmtId="164" fontId="23" fillId="0" borderId="34" xfId="205" applyFont="1" applyFill="1" applyBorder="1" applyAlignment="1">
      <alignment horizontal="center"/>
    </xf>
    <xf numFmtId="164" fontId="23" fillId="27" borderId="34" xfId="205" applyFont="1" applyFill="1" applyBorder="1" applyAlignment="1">
      <alignment horizontal="center"/>
    </xf>
    <xf numFmtId="164" fontId="23" fillId="0" borderId="47" xfId="205" applyFont="1" applyFill="1" applyBorder="1" applyAlignment="1">
      <alignment horizontal="center"/>
    </xf>
    <xf numFmtId="164" fontId="24" fillId="0" borderId="15" xfId="205" applyFont="1" applyFill="1" applyBorder="1" applyAlignment="1">
      <alignment horizontal="center"/>
    </xf>
    <xf numFmtId="164" fontId="24" fillId="0" borderId="11" xfId="205" applyFont="1" applyFill="1" applyBorder="1" applyAlignment="1">
      <alignment horizontal="center"/>
    </xf>
    <xf numFmtId="164" fontId="23" fillId="27" borderId="0" xfId="205" applyFont="1" applyFill="1" applyBorder="1" applyAlignment="1">
      <alignment horizontal="center"/>
    </xf>
    <xf numFmtId="164" fontId="24" fillId="0" borderId="24" xfId="205" applyFont="1" applyFill="1" applyBorder="1" applyAlignment="1">
      <alignment horizontal="center"/>
    </xf>
    <xf numFmtId="164" fontId="24" fillId="0" borderId="29" xfId="205" applyFont="1" applyFill="1" applyBorder="1" applyAlignment="1">
      <alignment horizontal="center"/>
    </xf>
    <xf numFmtId="49" fontId="23" fillId="0" borderId="0" xfId="0" applyNumberFormat="1" applyFont="1" applyFill="1" applyBorder="1" applyAlignment="1">
      <alignment horizontal="left" vertical="top" wrapText="1"/>
    </xf>
    <xf numFmtId="4" fontId="23" fillId="0" borderId="0" xfId="193" applyNumberFormat="1" applyFont="1" applyFill="1" applyBorder="1" applyAlignment="1">
      <alignment horizontal="right" shrinkToFit="1"/>
    </xf>
    <xf numFmtId="164" fontId="23" fillId="27" borderId="22" xfId="205" applyFont="1" applyFill="1" applyBorder="1" applyAlignment="1">
      <alignment horizontal="center" wrapText="1" shrinkToFit="1"/>
    </xf>
    <xf numFmtId="164" fontId="23" fillId="0" borderId="22" xfId="205" applyFont="1" applyFill="1" applyBorder="1" applyAlignment="1">
      <alignment horizontal="center" wrapText="1" shrinkToFit="1"/>
    </xf>
    <xf numFmtId="164" fontId="20" fillId="69" borderId="40" xfId="205" applyFont="1" applyFill="1" applyBorder="1" applyAlignment="1"/>
    <xf numFmtId="164" fontId="115" fillId="68" borderId="16" xfId="205" applyFont="1" applyFill="1" applyBorder="1" applyAlignment="1">
      <alignment horizontal="center"/>
    </xf>
    <xf numFmtId="164" fontId="115" fillId="68" borderId="21" xfId="205" applyFont="1" applyFill="1" applyBorder="1" applyAlignment="1">
      <alignment horizontal="center"/>
    </xf>
    <xf numFmtId="164" fontId="115" fillId="68" borderId="25" xfId="205" applyFont="1" applyFill="1" applyBorder="1" applyAlignment="1">
      <alignment horizontal="center"/>
    </xf>
    <xf numFmtId="164" fontId="23" fillId="68" borderId="18" xfId="205" applyFont="1" applyFill="1" applyBorder="1" applyAlignment="1">
      <alignment horizontal="center"/>
    </xf>
    <xf numFmtId="164" fontId="23" fillId="68" borderId="33" xfId="205" applyFont="1" applyFill="1" applyBorder="1" applyAlignment="1">
      <alignment horizontal="center"/>
    </xf>
    <xf numFmtId="164" fontId="29" fillId="0" borderId="40" xfId="205" applyFont="1" applyFill="1" applyBorder="1" applyAlignment="1">
      <alignment vertical="center"/>
    </xf>
    <xf numFmtId="49" fontId="29" fillId="29" borderId="39" xfId="0" quotePrefix="1" applyNumberFormat="1" applyFont="1" applyFill="1" applyBorder="1" applyAlignment="1">
      <alignment horizontal="center" vertical="center" wrapText="1"/>
    </xf>
    <xf numFmtId="49" fontId="29" fillId="29" borderId="42" xfId="0" quotePrefix="1" applyNumberFormat="1" applyFont="1" applyFill="1" applyBorder="1" applyAlignment="1">
      <alignment horizontal="center" vertical="center" wrapText="1"/>
    </xf>
    <xf numFmtId="164" fontId="23" fillId="25" borderId="43" xfId="205" applyFont="1" applyFill="1" applyBorder="1" applyAlignment="1">
      <alignment horizontal="center"/>
    </xf>
    <xf numFmtId="0" fontId="23" fillId="0" borderId="36"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27" borderId="12"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3" fillId="27" borderId="14" xfId="0" applyFont="1" applyFill="1" applyBorder="1" applyAlignment="1">
      <alignment horizontal="center" vertical="center" wrapText="1"/>
    </xf>
    <xf numFmtId="0" fontId="23" fillId="25" borderId="14" xfId="0" applyFont="1" applyFill="1" applyBorder="1" applyAlignment="1">
      <alignment horizontal="center" vertical="center" wrapText="1"/>
    </xf>
    <xf numFmtId="0" fontId="23" fillId="68" borderId="11" xfId="0" applyFont="1" applyFill="1" applyBorder="1" applyAlignment="1">
      <alignment horizontal="center" vertical="center" wrapText="1"/>
    </xf>
    <xf numFmtId="0" fontId="23" fillId="69" borderId="14" xfId="0" applyFont="1" applyFill="1" applyBorder="1" applyAlignment="1">
      <alignment horizontal="center" vertical="center" wrapText="1"/>
    </xf>
    <xf numFmtId="0" fontId="23" fillId="25" borderId="14" xfId="0" quotePrefix="1" applyFont="1" applyFill="1" applyBorder="1" applyAlignment="1">
      <alignment horizontal="center" vertical="center" wrapText="1"/>
    </xf>
    <xf numFmtId="0" fontId="23" fillId="25" borderId="15" xfId="0" quotePrefix="1" applyFont="1" applyFill="1" applyBorder="1" applyAlignment="1">
      <alignment horizontal="center" vertical="center" wrapText="1"/>
    </xf>
    <xf numFmtId="0" fontId="23" fillId="68" borderId="14" xfId="0" applyFont="1" applyFill="1" applyBorder="1" applyAlignment="1">
      <alignment horizontal="center" vertical="center" wrapText="1"/>
    </xf>
    <xf numFmtId="0" fontId="23" fillId="27" borderId="11" xfId="0" applyFont="1" applyFill="1" applyBorder="1" applyAlignment="1">
      <alignment horizontal="center" vertical="center" wrapText="1"/>
    </xf>
    <xf numFmtId="0" fontId="23" fillId="25" borderId="11" xfId="0" quotePrefix="1" applyFont="1" applyFill="1" applyBorder="1" applyAlignment="1">
      <alignment horizontal="center" vertical="center" wrapText="1"/>
    </xf>
    <xf numFmtId="0" fontId="23" fillId="25" borderId="43" xfId="0" quotePrefix="1" applyFont="1" applyFill="1" applyBorder="1" applyAlignment="1">
      <alignment horizontal="center" vertical="center" wrapText="1"/>
    </xf>
    <xf numFmtId="0" fontId="0" fillId="0" borderId="0" xfId="0" applyAlignment="1">
      <alignment wrapText="1"/>
    </xf>
    <xf numFmtId="164" fontId="24" fillId="69" borderId="20" xfId="205" applyFont="1" applyFill="1" applyBorder="1" applyAlignment="1">
      <alignment horizontal="center"/>
    </xf>
    <xf numFmtId="0" fontId="4" fillId="68" borderId="38" xfId="0" applyFont="1" applyFill="1" applyBorder="1" applyAlignment="1">
      <alignment horizontal="center" vertical="center" wrapText="1"/>
    </xf>
    <xf numFmtId="164" fontId="24" fillId="68" borderId="23" xfId="205" applyFont="1" applyFill="1" applyBorder="1" applyAlignment="1">
      <alignment horizontal="center"/>
    </xf>
    <xf numFmtId="164" fontId="23" fillId="68" borderId="11" xfId="205" applyFont="1" applyFill="1" applyBorder="1" applyAlignment="1">
      <alignment horizontal="center"/>
    </xf>
    <xf numFmtId="164" fontId="23" fillId="69" borderId="24" xfId="205" applyFont="1" applyFill="1" applyBorder="1" applyAlignment="1">
      <alignment horizontal="center"/>
    </xf>
    <xf numFmtId="0" fontId="4" fillId="68" borderId="14" xfId="0" applyFont="1" applyFill="1" applyBorder="1" applyAlignment="1">
      <alignment horizontal="center" vertical="center" wrapText="1"/>
    </xf>
    <xf numFmtId="164" fontId="115" fillId="0" borderId="0" xfId="0" applyNumberFormat="1" applyFont="1" applyFill="1" applyAlignment="1">
      <alignment horizontal="center" vertical="center"/>
    </xf>
    <xf numFmtId="0" fontId="4" fillId="68" borderId="11" xfId="0" applyFont="1" applyFill="1" applyBorder="1" applyAlignment="1">
      <alignment horizontal="center" vertical="center" wrapText="1"/>
    </xf>
    <xf numFmtId="164" fontId="115" fillId="68" borderId="17" xfId="205" applyFont="1" applyFill="1" applyBorder="1" applyAlignment="1">
      <alignment horizontal="center"/>
    </xf>
    <xf numFmtId="164" fontId="115" fillId="68" borderId="22" xfId="205" applyFont="1" applyFill="1" applyBorder="1" applyAlignment="1">
      <alignment horizontal="center"/>
    </xf>
    <xf numFmtId="164" fontId="115" fillId="68" borderId="26" xfId="205" applyFont="1" applyFill="1" applyBorder="1" applyAlignment="1">
      <alignment horizontal="center"/>
    </xf>
    <xf numFmtId="164" fontId="23" fillId="68" borderId="30" xfId="205" applyFont="1" applyFill="1" applyBorder="1" applyAlignment="1">
      <alignment horizontal="center"/>
    </xf>
    <xf numFmtId="0" fontId="32" fillId="0" borderId="41" xfId="0" applyNumberFormat="1" applyFont="1" applyFill="1" applyBorder="1" applyAlignment="1">
      <alignment vertical="center" wrapText="1"/>
    </xf>
    <xf numFmtId="164" fontId="29" fillId="0" borderId="40" xfId="205" applyFont="1" applyFill="1" applyBorder="1" applyAlignment="1">
      <alignment vertical="center" wrapText="1"/>
    </xf>
    <xf numFmtId="164" fontId="23" fillId="68" borderId="14" xfId="205" applyFont="1" applyFill="1" applyBorder="1" applyAlignment="1">
      <alignment horizontal="center"/>
    </xf>
    <xf numFmtId="164" fontId="115" fillId="0" borderId="21" xfId="205" applyFont="1" applyFill="1" applyBorder="1" applyAlignment="1">
      <alignment horizontal="center" wrapText="1"/>
    </xf>
    <xf numFmtId="164" fontId="23" fillId="68" borderId="15" xfId="205" applyFont="1" applyFill="1" applyBorder="1" applyAlignment="1">
      <alignment horizontal="center"/>
    </xf>
    <xf numFmtId="164" fontId="21" fillId="0" borderId="19" xfId="205" applyNumberFormat="1" applyFont="1" applyFill="1" applyBorder="1" applyAlignment="1">
      <alignment horizontal="center"/>
    </xf>
    <xf numFmtId="0" fontId="7" fillId="69" borderId="38" xfId="0" applyFont="1" applyFill="1" applyBorder="1" applyAlignment="1">
      <alignment horizontal="center" vertical="center"/>
    </xf>
    <xf numFmtId="164" fontId="115" fillId="27" borderId="21" xfId="205" applyFont="1" applyFill="1" applyBorder="1" applyAlignment="1">
      <alignment horizontal="center" wrapText="1"/>
    </xf>
    <xf numFmtId="164" fontId="24" fillId="69" borderId="32" xfId="205" applyFont="1" applyFill="1" applyBorder="1" applyAlignment="1">
      <alignment horizontal="center"/>
    </xf>
    <xf numFmtId="164" fontId="23" fillId="69" borderId="36" xfId="205" applyFont="1" applyFill="1" applyBorder="1" applyAlignment="1">
      <alignment horizontal="center"/>
    </xf>
    <xf numFmtId="164" fontId="23" fillId="69" borderId="34" xfId="205" applyFont="1" applyFill="1" applyBorder="1" applyAlignment="1">
      <alignment horizontal="center"/>
    </xf>
    <xf numFmtId="164" fontId="23" fillId="69" borderId="0" xfId="205" applyFont="1" applyFill="1" applyBorder="1" applyAlignment="1">
      <alignment horizontal="center"/>
    </xf>
    <xf numFmtId="164" fontId="24" fillId="69" borderId="37" xfId="205" applyFont="1" applyFill="1" applyBorder="1" applyAlignment="1">
      <alignment horizontal="center"/>
    </xf>
    <xf numFmtId="164" fontId="23" fillId="69" borderId="13" xfId="205" applyFont="1" applyFill="1" applyBorder="1" applyAlignment="1">
      <alignment horizontal="center"/>
    </xf>
    <xf numFmtId="164" fontId="24" fillId="69" borderId="33" xfId="205" applyFont="1" applyFill="1" applyBorder="1" applyAlignment="1">
      <alignment horizontal="center"/>
    </xf>
    <xf numFmtId="164" fontId="23" fillId="69" borderId="31" xfId="205" applyFont="1" applyFill="1" applyBorder="1" applyAlignment="1">
      <alignment horizontal="center"/>
    </xf>
    <xf numFmtId="164" fontId="21" fillId="0" borderId="37" xfId="205" applyNumberFormat="1" applyFont="1" applyFill="1" applyBorder="1" applyAlignment="1">
      <alignment horizontal="center"/>
    </xf>
    <xf numFmtId="164" fontId="17" fillId="0" borderId="13" xfId="205" applyNumberFormat="1" applyFont="1" applyFill="1" applyBorder="1" applyAlignment="1"/>
    <xf numFmtId="0" fontId="23" fillId="68" borderId="11" xfId="0" quotePrefix="1" applyFont="1" applyFill="1" applyBorder="1" applyAlignment="1">
      <alignment horizontal="center" vertical="center" wrapText="1"/>
    </xf>
    <xf numFmtId="0" fontId="23" fillId="68" borderId="12" xfId="0" applyFont="1" applyFill="1" applyBorder="1" applyAlignment="1">
      <alignment horizontal="center" vertical="center" wrapText="1"/>
    </xf>
    <xf numFmtId="0" fontId="23" fillId="0" borderId="14" xfId="0" applyFont="1" applyFill="1" applyBorder="1" applyAlignment="1">
      <alignment horizontal="center"/>
    </xf>
    <xf numFmtId="0" fontId="23" fillId="71" borderId="14" xfId="0" applyFont="1" applyFill="1" applyBorder="1" applyAlignment="1">
      <alignment horizontal="center" vertical="center" wrapText="1"/>
    </xf>
    <xf numFmtId="0" fontId="23" fillId="68" borderId="15" xfId="0" applyFont="1" applyFill="1" applyBorder="1" applyAlignment="1">
      <alignment horizontal="center" vertical="center" wrapText="1"/>
    </xf>
    <xf numFmtId="164" fontId="115" fillId="72" borderId="33" xfId="205" applyFont="1" applyFill="1" applyBorder="1" applyAlignment="1">
      <alignment horizontal="center"/>
    </xf>
    <xf numFmtId="164" fontId="23" fillId="72" borderId="14" xfId="205" applyFont="1" applyFill="1" applyBorder="1" applyAlignment="1">
      <alignment horizontal="center"/>
    </xf>
    <xf numFmtId="164" fontId="23" fillId="72" borderId="33" xfId="205" applyFont="1" applyFill="1" applyBorder="1" applyAlignment="1">
      <alignment horizontal="center"/>
    </xf>
    <xf numFmtId="164" fontId="23" fillId="72" borderId="11" xfId="205" applyFont="1" applyFill="1" applyBorder="1" applyAlignment="1">
      <alignment horizontal="center"/>
    </xf>
    <xf numFmtId="164" fontId="23" fillId="72" borderId="29" xfId="205" applyFont="1" applyFill="1" applyBorder="1" applyAlignment="1">
      <alignment horizontal="center"/>
    </xf>
    <xf numFmtId="0" fontId="7" fillId="72" borderId="38" xfId="0" applyFont="1" applyFill="1" applyBorder="1" applyAlignment="1">
      <alignment horizontal="center" vertical="center" wrapText="1"/>
    </xf>
    <xf numFmtId="164" fontId="115" fillId="72" borderId="16" xfId="205" applyFont="1" applyFill="1" applyBorder="1" applyAlignment="1">
      <alignment horizontal="center"/>
    </xf>
    <xf numFmtId="164" fontId="115" fillId="72" borderId="21" xfId="205" applyFont="1" applyFill="1" applyBorder="1" applyAlignment="1">
      <alignment horizontal="center"/>
    </xf>
    <xf numFmtId="164" fontId="115" fillId="72" borderId="25" xfId="205" applyFont="1" applyFill="1" applyBorder="1" applyAlignment="1">
      <alignment horizontal="center"/>
    </xf>
    <xf numFmtId="164" fontId="23" fillId="72" borderId="31" xfId="205" applyFont="1" applyFill="1" applyBorder="1" applyAlignment="1">
      <alignment horizontal="center"/>
    </xf>
    <xf numFmtId="164" fontId="23" fillId="72" borderId="16" xfId="205" applyFont="1" applyFill="1" applyBorder="1" applyAlignment="1">
      <alignment horizontal="center"/>
    </xf>
    <xf numFmtId="164" fontId="23" fillId="72" borderId="21" xfId="205" applyFont="1" applyFill="1" applyBorder="1" applyAlignment="1">
      <alignment horizontal="center"/>
    </xf>
    <xf numFmtId="0" fontId="23" fillId="72" borderId="11" xfId="0" applyFont="1" applyFill="1" applyBorder="1" applyAlignment="1">
      <alignment horizontal="center" vertical="center" wrapText="1"/>
    </xf>
    <xf numFmtId="164" fontId="23" fillId="72" borderId="25" xfId="205" applyFont="1" applyFill="1" applyBorder="1" applyAlignment="1">
      <alignment horizontal="center"/>
    </xf>
    <xf numFmtId="164" fontId="24" fillId="72" borderId="16" xfId="205" applyFont="1" applyFill="1" applyBorder="1" applyAlignment="1">
      <alignment horizontal="center"/>
    </xf>
    <xf numFmtId="164" fontId="24" fillId="72" borderId="21" xfId="205" applyFont="1" applyFill="1" applyBorder="1" applyAlignment="1">
      <alignment horizontal="center"/>
    </xf>
    <xf numFmtId="164" fontId="24" fillId="72" borderId="25" xfId="205" applyFont="1" applyFill="1" applyBorder="1" applyAlignment="1">
      <alignment horizontal="center"/>
    </xf>
    <xf numFmtId="164" fontId="118" fillId="72" borderId="38" xfId="205" applyFont="1" applyFill="1" applyBorder="1" applyAlignment="1">
      <alignment vertical="center"/>
    </xf>
    <xf numFmtId="49" fontId="32" fillId="72" borderId="38" xfId="0" applyNumberFormat="1" applyFont="1" applyFill="1" applyBorder="1" applyAlignment="1">
      <alignment horizontal="center" vertical="center" wrapText="1"/>
    </xf>
    <xf numFmtId="0" fontId="70" fillId="72" borderId="38" xfId="0" applyFont="1" applyFill="1" applyBorder="1" applyAlignment="1">
      <alignment horizontal="center" vertical="center" wrapText="1"/>
    </xf>
    <xf numFmtId="164" fontId="64" fillId="72" borderId="38" xfId="205" quotePrefix="1" applyFont="1" applyFill="1" applyBorder="1" applyAlignment="1">
      <alignment horizontal="center" vertical="center"/>
    </xf>
    <xf numFmtId="164" fontId="62" fillId="72" borderId="38" xfId="205" applyFont="1" applyFill="1" applyBorder="1" applyAlignment="1">
      <alignment vertical="center"/>
    </xf>
    <xf numFmtId="0" fontId="60" fillId="72" borderId="38" xfId="0" applyFont="1" applyFill="1" applyBorder="1" applyAlignment="1">
      <alignment horizontal="center" vertical="center" wrapText="1"/>
    </xf>
    <xf numFmtId="49" fontId="29" fillId="72" borderId="38" xfId="0" quotePrefix="1" applyNumberFormat="1" applyFont="1" applyFill="1" applyBorder="1" applyAlignment="1">
      <alignment horizontal="center" vertical="center" wrapText="1"/>
    </xf>
    <xf numFmtId="164" fontId="64" fillId="72" borderId="38" xfId="205" applyFont="1" applyFill="1" applyBorder="1" applyAlignment="1">
      <alignment vertical="center"/>
    </xf>
    <xf numFmtId="164" fontId="29" fillId="72" borderId="38" xfId="205" applyFont="1" applyFill="1" applyBorder="1" applyAlignment="1">
      <alignment horizontal="center" vertical="center"/>
    </xf>
    <xf numFmtId="164" fontId="31" fillId="72" borderId="38" xfId="205" applyFont="1" applyFill="1" applyBorder="1" applyAlignment="1">
      <alignment horizontal="center" vertical="center"/>
    </xf>
    <xf numFmtId="0" fontId="29" fillId="0" borderId="0" xfId="0" applyFont="1" applyBorder="1" applyAlignment="1">
      <alignment horizontal="right" vertical="center"/>
    </xf>
    <xf numFmtId="164" fontId="32" fillId="0" borderId="38" xfId="0" applyNumberFormat="1" applyFont="1" applyBorder="1" applyAlignment="1">
      <alignment horizontal="center" vertical="center" wrapText="1"/>
    </xf>
    <xf numFmtId="4" fontId="55" fillId="26" borderId="38" xfId="187" applyNumberFormat="1" applyFont="1" applyFill="1" applyBorder="1" applyAlignment="1">
      <alignment horizontal="right" vertical="center" wrapText="1" shrinkToFit="1"/>
    </xf>
    <xf numFmtId="164" fontId="29" fillId="0" borderId="0" xfId="205" applyFont="1" applyFill="1" applyBorder="1" applyAlignment="1">
      <alignment horizontal="center" vertical="center" wrapText="1"/>
    </xf>
    <xf numFmtId="164" fontId="23" fillId="72" borderId="24" xfId="205" applyFont="1" applyFill="1" applyBorder="1" applyAlignment="1">
      <alignment horizontal="center"/>
    </xf>
    <xf numFmtId="164" fontId="23" fillId="72" borderId="19" xfId="205" applyFont="1" applyFill="1" applyBorder="1" applyAlignment="1">
      <alignment horizontal="center"/>
    </xf>
    <xf numFmtId="164" fontId="23" fillId="72" borderId="23" xfId="205" applyFont="1" applyFill="1" applyBorder="1" applyAlignment="1">
      <alignment horizontal="center"/>
    </xf>
    <xf numFmtId="164" fontId="23" fillId="72" borderId="28" xfId="205" applyFont="1" applyFill="1" applyBorder="1" applyAlignment="1">
      <alignment horizontal="center"/>
    </xf>
    <xf numFmtId="164" fontId="23" fillId="72" borderId="44" xfId="205" applyFont="1" applyFill="1" applyBorder="1" applyAlignment="1">
      <alignment horizontal="center"/>
    </xf>
    <xf numFmtId="164" fontId="23" fillId="72" borderId="49" xfId="205" applyFont="1" applyFill="1" applyBorder="1" applyAlignment="1">
      <alignment horizontal="center"/>
    </xf>
    <xf numFmtId="164" fontId="23" fillId="72" borderId="43" xfId="205" applyFont="1" applyFill="1" applyBorder="1" applyAlignment="1">
      <alignment horizontal="center"/>
    </xf>
    <xf numFmtId="49" fontId="29" fillId="72" borderId="38" xfId="0" applyNumberFormat="1" applyFont="1" applyFill="1" applyBorder="1" applyAlignment="1">
      <alignment horizontal="center" vertical="center" wrapText="1"/>
    </xf>
    <xf numFmtId="164" fontId="115" fillId="72" borderId="19" xfId="205" applyFont="1" applyFill="1" applyBorder="1" applyAlignment="1">
      <alignment horizontal="center"/>
    </xf>
    <xf numFmtId="164" fontId="115" fillId="72" borderId="23" xfId="205" applyFont="1" applyFill="1" applyBorder="1" applyAlignment="1">
      <alignment horizontal="center"/>
    </xf>
    <xf numFmtId="4" fontId="23" fillId="0" borderId="38" xfId="127" applyNumberFormat="1" applyFont="1" applyFill="1" applyBorder="1" applyAlignment="1" applyProtection="1">
      <alignment horizontal="right" shrinkToFit="1"/>
      <protection locked="0"/>
    </xf>
    <xf numFmtId="164" fontId="31" fillId="0" borderId="38" xfId="205" applyNumberFormat="1" applyFont="1" applyFill="1" applyBorder="1" applyAlignment="1">
      <alignment horizontal="center" vertical="center"/>
    </xf>
    <xf numFmtId="4" fontId="59" fillId="0" borderId="1" xfId="0" applyNumberFormat="1" applyFont="1" applyFill="1" applyBorder="1" applyAlignment="1">
      <alignment horizontal="right" vertical="center" shrinkToFit="1"/>
    </xf>
    <xf numFmtId="0" fontId="29" fillId="0" borderId="39" xfId="0" applyFont="1" applyBorder="1" applyAlignment="1">
      <alignment horizontal="center" vertical="center"/>
    </xf>
    <xf numFmtId="164" fontId="31" fillId="0" borderId="42" xfId="205" applyFont="1" applyBorder="1" applyAlignment="1">
      <alignment horizontal="center" vertical="center"/>
    </xf>
    <xf numFmtId="4" fontId="121" fillId="0" borderId="59" xfId="116" applyNumberFormat="1" applyFont="1" applyBorder="1" applyAlignment="1" applyProtection="1">
      <alignment horizontal="right" shrinkToFit="1"/>
    </xf>
    <xf numFmtId="164" fontId="20" fillId="0" borderId="38" xfId="205" applyFont="1" applyFill="1" applyBorder="1" applyAlignment="1">
      <alignment horizontal="right" shrinkToFit="1"/>
    </xf>
    <xf numFmtId="164" fontId="20" fillId="0" borderId="38" xfId="205" applyFont="1" applyBorder="1" applyAlignment="1">
      <alignment horizontal="right" shrinkToFit="1"/>
    </xf>
    <xf numFmtId="164" fontId="66" fillId="0" borderId="38" xfId="205" applyFont="1" applyBorder="1"/>
    <xf numFmtId="164" fontId="66" fillId="0" borderId="0" xfId="205" applyFont="1" applyFill="1"/>
    <xf numFmtId="164" fontId="66" fillId="0" borderId="0" xfId="205" applyFont="1"/>
    <xf numFmtId="165" fontId="8" fillId="0" borderId="11" xfId="205" applyNumberFormat="1" applyFont="1" applyFill="1" applyBorder="1" applyAlignment="1"/>
    <xf numFmtId="0" fontId="23" fillId="25" borderId="14" xfId="0" applyFont="1" applyFill="1" applyBorder="1" applyAlignment="1">
      <alignment horizontal="center" vertical="center"/>
    </xf>
    <xf numFmtId="164" fontId="23" fillId="68" borderId="37" xfId="205" applyFont="1" applyFill="1" applyBorder="1" applyAlignment="1">
      <alignment horizontal="center"/>
    </xf>
    <xf numFmtId="164" fontId="0" fillId="0" borderId="0" xfId="0" applyNumberFormat="1" applyFill="1"/>
    <xf numFmtId="164" fontId="23" fillId="68" borderId="23" xfId="205" applyFont="1" applyFill="1" applyBorder="1" applyAlignment="1">
      <alignment horizontal="center"/>
    </xf>
    <xf numFmtId="4" fontId="120" fillId="0" borderId="0" xfId="116" applyNumberFormat="1" applyFont="1" applyBorder="1" applyAlignment="1" applyProtection="1">
      <alignment horizontal="right" vertical="top" shrinkToFit="1"/>
    </xf>
    <xf numFmtId="3" fontId="23" fillId="68" borderId="11" xfId="0" applyNumberFormat="1" applyFont="1" applyFill="1" applyBorder="1" applyAlignment="1">
      <alignment horizontal="center" vertical="center" wrapText="1"/>
    </xf>
    <xf numFmtId="164" fontId="31" fillId="0" borderId="0" xfId="205" applyFont="1" applyFill="1" applyBorder="1" applyAlignment="1">
      <alignment horizontal="center" vertical="center"/>
    </xf>
    <xf numFmtId="164" fontId="116" fillId="0" borderId="38" xfId="205" applyFont="1" applyFill="1" applyBorder="1" applyAlignment="1">
      <alignment vertical="center"/>
    </xf>
    <xf numFmtId="164" fontId="24" fillId="27" borderId="32" xfId="205" applyFont="1" applyFill="1" applyBorder="1" applyAlignment="1">
      <alignment horizontal="center"/>
    </xf>
    <xf numFmtId="164" fontId="24" fillId="0" borderId="37" xfId="205" applyFont="1" applyFill="1" applyBorder="1" applyAlignment="1">
      <alignment horizontal="center" wrapText="1" shrinkToFit="1"/>
    </xf>
    <xf numFmtId="164" fontId="24" fillId="0" borderId="33" xfId="205" applyFont="1" applyFill="1" applyBorder="1" applyAlignment="1">
      <alignment horizontal="center" wrapText="1" shrinkToFit="1"/>
    </xf>
    <xf numFmtId="164" fontId="23" fillId="0" borderId="21" xfId="205" applyFont="1" applyFill="1" applyBorder="1" applyAlignment="1">
      <alignment horizontal="center" shrinkToFit="1"/>
    </xf>
    <xf numFmtId="164" fontId="23" fillId="0" borderId="33" xfId="205" applyFont="1" applyFill="1" applyBorder="1" applyAlignment="1">
      <alignment horizontal="center" shrinkToFit="1"/>
    </xf>
    <xf numFmtId="164" fontId="23" fillId="27" borderId="23" xfId="205" applyFont="1" applyFill="1" applyBorder="1" applyAlignment="1">
      <alignment horizontal="center" wrapText="1" shrinkToFit="1"/>
    </xf>
    <xf numFmtId="164" fontId="23" fillId="0" borderId="13" xfId="205" applyFont="1" applyFill="1" applyBorder="1" applyAlignment="1">
      <alignment horizontal="center" wrapText="1"/>
    </xf>
    <xf numFmtId="164" fontId="23" fillId="0" borderId="11" xfId="205" applyFont="1" applyFill="1" applyBorder="1" applyAlignment="1">
      <alignment horizontal="center" wrapText="1"/>
    </xf>
    <xf numFmtId="164" fontId="23" fillId="0" borderId="31" xfId="205" applyFont="1" applyFill="1" applyBorder="1" applyAlignment="1">
      <alignment horizontal="center" wrapText="1"/>
    </xf>
    <xf numFmtId="164" fontId="23" fillId="27" borderId="31" xfId="205" applyFont="1" applyFill="1" applyBorder="1" applyAlignment="1">
      <alignment horizontal="center" wrapText="1"/>
    </xf>
    <xf numFmtId="164" fontId="23" fillId="27" borderId="11" xfId="205" applyFont="1" applyFill="1" applyBorder="1" applyAlignment="1">
      <alignment horizontal="center" wrapText="1"/>
    </xf>
    <xf numFmtId="164" fontId="23" fillId="27" borderId="12" xfId="205" applyFont="1" applyFill="1" applyBorder="1" applyAlignment="1">
      <alignment horizontal="center" wrapText="1"/>
    </xf>
    <xf numFmtId="164" fontId="23" fillId="25" borderId="11" xfId="205" applyFont="1" applyFill="1" applyBorder="1" applyAlignment="1">
      <alignment horizontal="center" wrapText="1"/>
    </xf>
    <xf numFmtId="164" fontId="23" fillId="25" borderId="15" xfId="205" applyFont="1" applyFill="1" applyBorder="1" applyAlignment="1">
      <alignment horizontal="center" wrapText="1"/>
    </xf>
    <xf numFmtId="4" fontId="127" fillId="0" borderId="80" xfId="48" applyNumberFormat="1" applyFont="1" applyFill="1" applyBorder="1" applyAlignment="1" applyProtection="1">
      <alignment horizontal="right" wrapText="1" shrinkToFit="1"/>
    </xf>
    <xf numFmtId="164" fontId="23" fillId="69" borderId="22" xfId="205" applyFont="1" applyFill="1" applyBorder="1" applyAlignment="1">
      <alignment horizontal="center" wrapText="1" shrinkToFit="1"/>
    </xf>
    <xf numFmtId="0" fontId="23" fillId="27" borderId="43" xfId="0" applyFont="1" applyFill="1" applyBorder="1" applyAlignment="1">
      <alignment horizontal="center" vertical="center" wrapText="1"/>
    </xf>
    <xf numFmtId="164" fontId="23" fillId="69" borderId="17" xfId="205" applyFont="1" applyFill="1" applyBorder="1" applyAlignment="1">
      <alignment horizontal="center" wrapText="1" shrinkToFit="1"/>
    </xf>
    <xf numFmtId="164" fontId="24" fillId="0" borderId="49" xfId="205" applyFont="1" applyFill="1" applyBorder="1" applyAlignment="1">
      <alignment horizontal="center"/>
    </xf>
    <xf numFmtId="164" fontId="23" fillId="72" borderId="48" xfId="205" applyFont="1" applyFill="1" applyBorder="1" applyAlignment="1">
      <alignment horizontal="center"/>
    </xf>
    <xf numFmtId="164" fontId="115" fillId="68" borderId="32" xfId="205" applyFont="1" applyFill="1" applyBorder="1" applyAlignment="1">
      <alignment horizontal="center"/>
    </xf>
    <xf numFmtId="164" fontId="24" fillId="69" borderId="49" xfId="205" applyFont="1" applyFill="1" applyBorder="1" applyAlignment="1">
      <alignment horizontal="center"/>
    </xf>
    <xf numFmtId="164" fontId="24" fillId="72" borderId="33" xfId="205" applyFont="1" applyFill="1" applyBorder="1" applyAlignment="1">
      <alignment horizontal="center"/>
    </xf>
    <xf numFmtId="164" fontId="23" fillId="68" borderId="49" xfId="205" applyFont="1" applyFill="1" applyBorder="1" applyAlignment="1">
      <alignment horizontal="center"/>
    </xf>
    <xf numFmtId="164" fontId="115" fillId="0" borderId="33" xfId="205" applyFont="1" applyFill="1" applyBorder="1" applyAlignment="1">
      <alignment horizontal="center" wrapText="1"/>
    </xf>
    <xf numFmtId="164" fontId="115" fillId="27" borderId="33" xfId="205" applyFont="1" applyFill="1" applyBorder="1" applyAlignment="1">
      <alignment horizontal="center" wrapText="1"/>
    </xf>
    <xf numFmtId="164" fontId="115" fillId="68" borderId="33" xfId="205" applyFont="1" applyFill="1" applyBorder="1" applyAlignment="1">
      <alignment horizontal="center"/>
    </xf>
    <xf numFmtId="164" fontId="24" fillId="69" borderId="22" xfId="205" applyFont="1" applyFill="1" applyBorder="1" applyAlignment="1">
      <alignment horizontal="center"/>
    </xf>
    <xf numFmtId="0" fontId="4" fillId="68" borderId="12" xfId="0" applyFont="1" applyFill="1" applyBorder="1" applyAlignment="1">
      <alignment horizontal="center" vertical="center" wrapText="1"/>
    </xf>
    <xf numFmtId="164" fontId="23" fillId="27" borderId="15" xfId="205" applyFont="1" applyFill="1" applyBorder="1" applyAlignment="1">
      <alignment horizontal="center" wrapText="1"/>
    </xf>
    <xf numFmtId="164" fontId="23" fillId="27" borderId="15" xfId="205" applyFont="1" applyFill="1" applyBorder="1" applyAlignment="1">
      <alignment horizontal="center"/>
    </xf>
    <xf numFmtId="164" fontId="23" fillId="68" borderId="43" xfId="205" applyFont="1" applyFill="1" applyBorder="1" applyAlignment="1">
      <alignment horizontal="center"/>
    </xf>
    <xf numFmtId="164" fontId="23" fillId="68" borderId="12" xfId="205" applyFont="1" applyFill="1" applyBorder="1" applyAlignment="1">
      <alignment horizontal="center"/>
    </xf>
    <xf numFmtId="0" fontId="23" fillId="72" borderId="43" xfId="0" applyFont="1" applyFill="1" applyBorder="1" applyAlignment="1">
      <alignment horizontal="center" vertical="center" wrapText="1"/>
    </xf>
    <xf numFmtId="164" fontId="115" fillId="72" borderId="22" xfId="205" applyFont="1" applyFill="1" applyBorder="1" applyAlignment="1">
      <alignment horizontal="center"/>
    </xf>
    <xf numFmtId="164" fontId="23" fillId="72" borderId="30" xfId="205" applyFont="1" applyFill="1" applyBorder="1" applyAlignment="1">
      <alignment horizontal="center"/>
    </xf>
    <xf numFmtId="164" fontId="23" fillId="72" borderId="0" xfId="205" applyFont="1" applyFill="1" applyBorder="1" applyAlignment="1">
      <alignment horizontal="center"/>
    </xf>
    <xf numFmtId="164" fontId="115" fillId="72" borderId="32" xfId="205" applyFont="1" applyFill="1" applyBorder="1" applyAlignment="1">
      <alignment horizontal="center"/>
    </xf>
    <xf numFmtId="164" fontId="23" fillId="72" borderId="12" xfId="205" applyFont="1" applyFill="1" applyBorder="1" applyAlignment="1">
      <alignment horizontal="center"/>
    </xf>
    <xf numFmtId="164" fontId="23" fillId="72" borderId="40" xfId="205" applyFont="1" applyFill="1" applyBorder="1" applyAlignment="1">
      <alignment horizontal="center"/>
    </xf>
    <xf numFmtId="164" fontId="23" fillId="72" borderId="22" xfId="205" applyFont="1" applyFill="1" applyBorder="1" applyAlignment="1">
      <alignment horizontal="center"/>
    </xf>
    <xf numFmtId="164" fontId="23" fillId="72" borderId="32" xfId="205" applyFont="1" applyFill="1" applyBorder="1" applyAlignment="1">
      <alignment horizontal="center"/>
    </xf>
    <xf numFmtId="164" fontId="23" fillId="68" borderId="32" xfId="205" applyFont="1" applyFill="1" applyBorder="1" applyAlignment="1">
      <alignment horizontal="center"/>
    </xf>
    <xf numFmtId="164" fontId="23" fillId="68" borderId="20" xfId="205" applyFont="1" applyFill="1" applyBorder="1" applyAlignment="1">
      <alignment horizontal="center"/>
    </xf>
    <xf numFmtId="164" fontId="23" fillId="68" borderId="36" xfId="205" applyFont="1" applyFill="1" applyBorder="1" applyAlignment="1">
      <alignment horizontal="center"/>
    </xf>
    <xf numFmtId="164" fontId="23" fillId="0" borderId="12" xfId="205" applyFont="1" applyFill="1" applyBorder="1" applyAlignment="1">
      <alignment horizontal="center" wrapText="1"/>
    </xf>
    <xf numFmtId="164" fontId="24" fillId="72" borderId="17" xfId="205" applyFont="1" applyFill="1" applyBorder="1" applyAlignment="1">
      <alignment horizontal="center"/>
    </xf>
    <xf numFmtId="164" fontId="24" fillId="72" borderId="22" xfId="205" applyFont="1" applyFill="1" applyBorder="1" applyAlignment="1">
      <alignment horizontal="center"/>
    </xf>
    <xf numFmtId="164" fontId="24" fillId="72" borderId="26" xfId="205" applyFont="1" applyFill="1" applyBorder="1" applyAlignment="1">
      <alignment horizontal="center"/>
    </xf>
    <xf numFmtId="164" fontId="23" fillId="72" borderId="15" xfId="205" applyFont="1" applyFill="1" applyBorder="1" applyAlignment="1">
      <alignment horizontal="center"/>
    </xf>
    <xf numFmtId="164" fontId="23" fillId="72" borderId="34" xfId="205" applyFont="1" applyFill="1" applyBorder="1" applyAlignment="1">
      <alignment horizontal="center"/>
    </xf>
    <xf numFmtId="164" fontId="23" fillId="72" borderId="47" xfId="205" applyFont="1" applyFill="1" applyBorder="1" applyAlignment="1">
      <alignment horizontal="center"/>
    </xf>
    <xf numFmtId="164" fontId="23" fillId="0" borderId="31" xfId="205" applyFont="1" applyBorder="1" applyAlignment="1">
      <alignment horizontal="center" wrapText="1" shrinkToFit="1"/>
    </xf>
    <xf numFmtId="164" fontId="23" fillId="0" borderId="11" xfId="205" applyFont="1" applyBorder="1" applyAlignment="1">
      <alignment horizontal="center" wrapText="1" shrinkToFit="1"/>
    </xf>
    <xf numFmtId="164" fontId="23" fillId="27" borderId="31" xfId="205" applyFont="1" applyFill="1" applyBorder="1" applyAlignment="1">
      <alignment horizontal="center" wrapText="1" shrinkToFit="1"/>
    </xf>
    <xf numFmtId="164" fontId="23" fillId="0" borderId="33" xfId="205" applyFont="1" applyFill="1" applyBorder="1" applyAlignment="1">
      <alignment horizontal="center" wrapText="1" shrinkToFit="1"/>
    </xf>
    <xf numFmtId="3" fontId="23" fillId="68" borderId="12" xfId="0" applyNumberFormat="1" applyFont="1" applyFill="1" applyBorder="1" applyAlignment="1">
      <alignment horizontal="center" vertical="center" wrapText="1"/>
    </xf>
    <xf numFmtId="0" fontId="23" fillId="72" borderId="47" xfId="0" applyFont="1" applyFill="1" applyBorder="1" applyAlignment="1">
      <alignment horizontal="center" vertical="center" wrapText="1"/>
    </xf>
    <xf numFmtId="164" fontId="23" fillId="72" borderId="50" xfId="205" applyFont="1" applyFill="1" applyBorder="1" applyAlignment="1">
      <alignment horizontal="center"/>
    </xf>
    <xf numFmtId="0" fontId="4" fillId="68" borderId="36" xfId="0" applyFont="1" applyFill="1" applyBorder="1" applyAlignment="1">
      <alignment horizontal="center" vertical="center" wrapText="1"/>
    </xf>
    <xf numFmtId="0" fontId="4" fillId="72" borderId="14" xfId="0" applyFont="1" applyFill="1" applyBorder="1" applyAlignment="1">
      <alignment horizontal="center" vertical="center" wrapText="1"/>
    </xf>
    <xf numFmtId="0" fontId="4" fillId="72" borderId="34" xfId="0" applyFont="1" applyFill="1" applyBorder="1" applyAlignment="1">
      <alignment horizontal="center" vertical="center" wrapText="1"/>
    </xf>
    <xf numFmtId="4" fontId="126" fillId="0" borderId="0" xfId="41" applyNumberFormat="1" applyFont="1" applyBorder="1" applyProtection="1">
      <alignment horizontal="right" vertical="top" shrinkToFit="1"/>
    </xf>
    <xf numFmtId="164" fontId="115" fillId="72" borderId="49" xfId="205" applyFont="1" applyFill="1" applyBorder="1" applyAlignment="1">
      <alignment horizontal="center"/>
    </xf>
    <xf numFmtId="164" fontId="17" fillId="0" borderId="15" xfId="205" applyNumberFormat="1" applyFont="1" applyFill="1" applyBorder="1" applyAlignment="1"/>
    <xf numFmtId="164" fontId="17" fillId="0" borderId="18" xfId="205" applyNumberFormat="1" applyFont="1" applyFill="1" applyBorder="1" applyAlignment="1"/>
    <xf numFmtId="164" fontId="25" fillId="0" borderId="15" xfId="0" applyNumberFormat="1" applyFont="1" applyFill="1" applyBorder="1"/>
    <xf numFmtId="0" fontId="29" fillId="0" borderId="0" xfId="0" applyFont="1" applyAlignment="1">
      <alignment horizontal="center" vertical="center" wrapText="1"/>
    </xf>
    <xf numFmtId="164" fontId="23" fillId="0" borderId="20" xfId="205" applyFont="1" applyFill="1" applyBorder="1" applyAlignment="1">
      <alignment horizontal="center" shrinkToFit="1"/>
    </xf>
    <xf numFmtId="164" fontId="23" fillId="25" borderId="16" xfId="205" applyFont="1" applyFill="1" applyBorder="1" applyAlignment="1">
      <alignment horizontal="center" wrapText="1" shrinkToFit="1"/>
    </xf>
    <xf numFmtId="3" fontId="23" fillId="72" borderId="11" xfId="0" applyNumberFormat="1" applyFont="1" applyFill="1" applyBorder="1" applyAlignment="1">
      <alignment horizontal="center" vertical="center" wrapText="1"/>
    </xf>
    <xf numFmtId="3" fontId="23" fillId="72" borderId="12" xfId="0" applyNumberFormat="1" applyFont="1" applyFill="1" applyBorder="1" applyAlignment="1">
      <alignment horizontal="center" vertical="center" wrapText="1"/>
    </xf>
    <xf numFmtId="0" fontId="4" fillId="72" borderId="47" xfId="0" applyFont="1" applyFill="1" applyBorder="1" applyAlignment="1">
      <alignment horizontal="center" vertical="center" wrapText="1"/>
    </xf>
    <xf numFmtId="0" fontId="4" fillId="72" borderId="43" xfId="0" applyFont="1" applyFill="1" applyBorder="1" applyAlignment="1">
      <alignment horizontal="center" vertical="center" wrapText="1"/>
    </xf>
    <xf numFmtId="164" fontId="23" fillId="25" borderId="43" xfId="205" applyFont="1" applyFill="1" applyBorder="1" applyAlignment="1">
      <alignment horizontal="center" wrapText="1"/>
    </xf>
    <xf numFmtId="164" fontId="23" fillId="25" borderId="23" xfId="205" applyFont="1" applyFill="1" applyBorder="1" applyAlignment="1">
      <alignment horizontal="center" wrapText="1" shrinkToFit="1"/>
    </xf>
    <xf numFmtId="164" fontId="31" fillId="68" borderId="38" xfId="205" applyFont="1" applyFill="1" applyBorder="1" applyAlignment="1">
      <alignment vertical="center"/>
    </xf>
    <xf numFmtId="165" fontId="29" fillId="0" borderId="0" xfId="205" applyNumberFormat="1" applyFont="1" applyAlignment="1">
      <alignment vertical="center"/>
    </xf>
    <xf numFmtId="0" fontId="32" fillId="0" borderId="0" xfId="0" applyFont="1" applyAlignment="1">
      <alignment vertical="center"/>
    </xf>
    <xf numFmtId="0" fontId="32" fillId="0" borderId="0" xfId="0" applyFont="1" applyFill="1" applyAlignment="1">
      <alignment vertical="center"/>
    </xf>
    <xf numFmtId="0" fontId="32" fillId="0" borderId="41" xfId="0" applyFont="1" applyFill="1" applyBorder="1" applyAlignment="1">
      <alignment horizontal="left" vertical="center" wrapText="1"/>
    </xf>
    <xf numFmtId="0" fontId="32" fillId="0" borderId="0" xfId="0" applyFont="1" applyAlignment="1">
      <alignment horizontal="center" vertical="center"/>
    </xf>
    <xf numFmtId="165" fontId="31" fillId="0" borderId="0" xfId="205" applyNumberFormat="1" applyFont="1" applyAlignment="1">
      <alignment vertical="center"/>
    </xf>
    <xf numFmtId="164" fontId="33" fillId="0" borderId="0" xfId="0" applyNumberFormat="1" applyFont="1" applyAlignment="1">
      <alignment vertical="center"/>
    </xf>
    <xf numFmtId="4" fontId="93" fillId="0" borderId="0" xfId="107" applyNumberFormat="1" applyFill="1" applyBorder="1" applyAlignment="1" applyProtection="1">
      <alignment horizontal="right" vertical="center" shrinkToFit="1"/>
      <protection locked="0"/>
    </xf>
    <xf numFmtId="164" fontId="128" fillId="0" borderId="59" xfId="205" applyFont="1" applyBorder="1" applyAlignment="1" applyProtection="1">
      <alignment horizontal="right" vertical="center" shrinkToFit="1"/>
    </xf>
    <xf numFmtId="4" fontId="120" fillId="0" borderId="0" xfId="104" applyNumberFormat="1" applyFont="1" applyBorder="1" applyAlignment="1" applyProtection="1">
      <alignment horizontal="right" vertical="center" shrinkToFit="1"/>
    </xf>
    <xf numFmtId="4" fontId="117" fillId="0" borderId="38" xfId="39" applyNumberFormat="1" applyFont="1" applyFill="1" applyBorder="1" applyAlignment="1" applyProtection="1">
      <alignment horizontal="right" vertical="center" shrinkToFit="1"/>
    </xf>
    <xf numFmtId="169" fontId="129" fillId="0" borderId="0" xfId="0" applyNumberFormat="1" applyFont="1" applyFill="1" applyBorder="1" applyAlignment="1">
      <alignment horizontal="right" vertical="center" wrapText="1" shrinkToFit="1"/>
    </xf>
    <xf numFmtId="164" fontId="33" fillId="0" borderId="0" xfId="0" applyNumberFormat="1" applyFont="1" applyFill="1" applyBorder="1" applyAlignment="1">
      <alignment vertical="center"/>
    </xf>
    <xf numFmtId="167" fontId="31" fillId="0" borderId="38" xfId="0" applyNumberFormat="1" applyFont="1" applyBorder="1" applyAlignment="1">
      <alignment vertical="center"/>
    </xf>
    <xf numFmtId="164" fontId="117" fillId="0" borderId="38" xfId="0" applyNumberFormat="1" applyFont="1" applyBorder="1" applyAlignment="1">
      <alignment vertical="center"/>
    </xf>
    <xf numFmtId="164" fontId="31" fillId="0" borderId="38" xfId="0" applyNumberFormat="1" applyFont="1" applyBorder="1" applyAlignment="1">
      <alignment vertical="center"/>
    </xf>
    <xf numFmtId="4" fontId="32" fillId="0" borderId="0" xfId="0" applyNumberFormat="1" applyFont="1" applyAlignment="1">
      <alignment vertical="center"/>
    </xf>
    <xf numFmtId="165" fontId="29" fillId="0" borderId="0" xfId="205" applyNumberFormat="1" applyFont="1" applyFill="1" applyAlignment="1">
      <alignment vertical="center"/>
    </xf>
    <xf numFmtId="164" fontId="31" fillId="0" borderId="0" xfId="0" applyNumberFormat="1" applyFont="1" applyFill="1" applyAlignment="1">
      <alignment vertical="center"/>
    </xf>
    <xf numFmtId="164" fontId="115" fillId="0" borderId="0" xfId="0" applyNumberFormat="1" applyFont="1"/>
    <xf numFmtId="0" fontId="23" fillId="69" borderId="11" xfId="0" applyFont="1" applyFill="1" applyBorder="1" applyAlignment="1">
      <alignment horizontal="center" vertical="center" wrapText="1"/>
    </xf>
    <xf numFmtId="164" fontId="115" fillId="69" borderId="20" xfId="205" applyFont="1" applyFill="1" applyBorder="1" applyAlignment="1">
      <alignment horizontal="center"/>
    </xf>
    <xf numFmtId="164" fontId="23" fillId="68" borderId="31" xfId="205" applyFont="1" applyFill="1" applyBorder="1" applyAlignment="1">
      <alignment horizontal="center"/>
    </xf>
    <xf numFmtId="0" fontId="23" fillId="0" borderId="36" xfId="0" applyFont="1" applyFill="1" applyBorder="1" applyAlignment="1">
      <alignment horizontal="center" vertical="center" wrapText="1"/>
    </xf>
    <xf numFmtId="0" fontId="23" fillId="0" borderId="34" xfId="0" applyFont="1" applyFill="1" applyBorder="1" applyAlignment="1">
      <alignment horizontal="center" vertical="center" wrapText="1"/>
    </xf>
    <xf numFmtId="0" fontId="23" fillId="0" borderId="15" xfId="0" applyFont="1" applyFill="1" applyBorder="1" applyAlignment="1">
      <alignment horizontal="center" vertical="center" wrapText="1"/>
    </xf>
    <xf numFmtId="0" fontId="23" fillId="27" borderId="36" xfId="0" applyFont="1" applyFill="1" applyBorder="1" applyAlignment="1">
      <alignment horizontal="center" vertical="center" wrapText="1"/>
    </xf>
    <xf numFmtId="0" fontId="23" fillId="27" borderId="47"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36" xfId="0" applyFont="1" applyFill="1" applyBorder="1" applyAlignment="1">
      <alignment horizontal="center" vertical="center"/>
    </xf>
    <xf numFmtId="0" fontId="23" fillId="0" borderId="34" xfId="0" applyFont="1" applyFill="1" applyBorder="1" applyAlignment="1">
      <alignment horizontal="center" vertical="center"/>
    </xf>
    <xf numFmtId="164" fontId="30" fillId="69" borderId="38" xfId="205" applyFont="1" applyFill="1" applyBorder="1" applyAlignment="1">
      <alignment horizontal="right" wrapText="1" shrinkToFit="1"/>
    </xf>
    <xf numFmtId="164" fontId="24" fillId="68" borderId="37" xfId="205" applyFont="1" applyFill="1" applyBorder="1" applyAlignment="1">
      <alignment horizontal="center" wrapText="1" shrinkToFit="1"/>
    </xf>
    <xf numFmtId="164" fontId="23" fillId="0" borderId="37" xfId="205" applyFont="1" applyFill="1" applyBorder="1" applyAlignment="1">
      <alignment horizontal="center" shrinkToFit="1"/>
    </xf>
    <xf numFmtId="164" fontId="23" fillId="0" borderId="49" xfId="205" applyFont="1" applyFill="1" applyBorder="1" applyAlignment="1">
      <alignment horizontal="center" shrinkToFit="1"/>
    </xf>
    <xf numFmtId="164" fontId="24" fillId="0" borderId="50" xfId="205" applyFont="1" applyFill="1" applyBorder="1" applyAlignment="1">
      <alignment horizontal="center"/>
    </xf>
    <xf numFmtId="164" fontId="24" fillId="68" borderId="16" xfId="205" applyFont="1" applyFill="1" applyBorder="1" applyAlignment="1">
      <alignment horizontal="center" wrapText="1" shrinkToFit="1"/>
    </xf>
    <xf numFmtId="3" fontId="23" fillId="25" borderId="11" xfId="0" applyNumberFormat="1" applyFont="1" applyFill="1" applyBorder="1" applyAlignment="1">
      <alignment horizontal="center" vertical="center"/>
    </xf>
    <xf numFmtId="164" fontId="24" fillId="68" borderId="21" xfId="205" applyFont="1" applyFill="1" applyBorder="1" applyAlignment="1">
      <alignment horizontal="center" wrapText="1" shrinkToFit="1"/>
    </xf>
    <xf numFmtId="164" fontId="24" fillId="68" borderId="25" xfId="205" applyFont="1" applyFill="1" applyBorder="1" applyAlignment="1">
      <alignment horizontal="center" wrapText="1" shrinkToFit="1"/>
    </xf>
    <xf numFmtId="164" fontId="24" fillId="68" borderId="29" xfId="205" applyFont="1" applyFill="1" applyBorder="1" applyAlignment="1">
      <alignment horizontal="center" wrapText="1" shrinkToFit="1"/>
    </xf>
    <xf numFmtId="3" fontId="23" fillId="25" borderId="15" xfId="0" applyNumberFormat="1" applyFont="1" applyFill="1" applyBorder="1" applyAlignment="1">
      <alignment horizontal="center" vertical="center"/>
    </xf>
    <xf numFmtId="164" fontId="24" fillId="68" borderId="18" xfId="205" applyFont="1" applyFill="1" applyBorder="1" applyAlignment="1">
      <alignment horizontal="center" wrapText="1" shrinkToFit="1"/>
    </xf>
    <xf numFmtId="164" fontId="24" fillId="68" borderId="20" xfId="205" applyFont="1" applyFill="1" applyBorder="1" applyAlignment="1">
      <alignment horizontal="center" wrapText="1" shrinkToFit="1"/>
    </xf>
    <xf numFmtId="164" fontId="115" fillId="0" borderId="33" xfId="205" applyFont="1" applyFill="1" applyBorder="1" applyAlignment="1">
      <alignment horizontal="center"/>
    </xf>
    <xf numFmtId="164" fontId="24" fillId="69" borderId="16" xfId="205" applyFont="1" applyFill="1" applyBorder="1" applyAlignment="1">
      <alignment horizontal="center" wrapText="1"/>
    </xf>
    <xf numFmtId="164" fontId="23" fillId="25" borderId="17" xfId="205" applyFont="1" applyFill="1" applyBorder="1" applyAlignment="1">
      <alignment horizontal="center" wrapText="1" shrinkToFit="1"/>
    </xf>
    <xf numFmtId="164" fontId="24" fillId="69" borderId="21" xfId="205" applyFont="1" applyFill="1" applyBorder="1" applyAlignment="1">
      <alignment horizontal="center" wrapText="1"/>
    </xf>
    <xf numFmtId="164" fontId="23" fillId="72" borderId="56" xfId="205" applyFont="1" applyFill="1" applyBorder="1" applyAlignment="1">
      <alignment horizontal="center"/>
    </xf>
    <xf numFmtId="164" fontId="115" fillId="69" borderId="37" xfId="205" applyFont="1" applyFill="1" applyBorder="1" applyAlignment="1">
      <alignment horizontal="center"/>
    </xf>
    <xf numFmtId="0" fontId="4" fillId="68" borderId="34" xfId="0" applyFont="1" applyFill="1" applyBorder="1" applyAlignment="1">
      <alignment horizontal="center" vertical="center" wrapText="1"/>
    </xf>
    <xf numFmtId="0" fontId="23" fillId="72" borderId="14" xfId="0" quotePrefix="1" applyFont="1" applyFill="1" applyBorder="1" applyAlignment="1">
      <alignment horizontal="center" vertical="center" wrapText="1"/>
    </xf>
    <xf numFmtId="164" fontId="24" fillId="72" borderId="37" xfId="205" applyFont="1" applyFill="1" applyBorder="1" applyAlignment="1">
      <alignment horizontal="center"/>
    </xf>
    <xf numFmtId="164" fontId="24" fillId="0" borderId="13" xfId="205" applyFont="1" applyFill="1" applyBorder="1" applyAlignment="1">
      <alignment horizontal="center"/>
    </xf>
    <xf numFmtId="164" fontId="24" fillId="68" borderId="13" xfId="205" applyFont="1" applyFill="1" applyBorder="1" applyAlignment="1">
      <alignment horizontal="center"/>
    </xf>
    <xf numFmtId="164" fontId="24" fillId="0" borderId="31" xfId="205" applyFont="1" applyFill="1" applyBorder="1" applyAlignment="1">
      <alignment horizontal="center"/>
    </xf>
    <xf numFmtId="164" fontId="24" fillId="69" borderId="31" xfId="205" applyFont="1" applyFill="1" applyBorder="1" applyAlignment="1">
      <alignment horizontal="center"/>
    </xf>
    <xf numFmtId="164" fontId="115" fillId="68" borderId="0" xfId="205" applyFont="1" applyFill="1" applyBorder="1" applyAlignment="1">
      <alignment horizontal="center"/>
    </xf>
    <xf numFmtId="164" fontId="115" fillId="72" borderId="31" xfId="205" applyFont="1" applyFill="1" applyBorder="1" applyAlignment="1">
      <alignment horizontal="center"/>
    </xf>
    <xf numFmtId="164" fontId="24" fillId="69" borderId="0" xfId="205" applyFont="1" applyFill="1" applyBorder="1" applyAlignment="1">
      <alignment horizontal="center"/>
    </xf>
    <xf numFmtId="164" fontId="115" fillId="68" borderId="31" xfId="205" applyFont="1" applyFill="1" applyBorder="1" applyAlignment="1">
      <alignment horizontal="center"/>
    </xf>
    <xf numFmtId="164" fontId="115" fillId="72" borderId="0" xfId="205" applyFont="1" applyFill="1" applyBorder="1" applyAlignment="1">
      <alignment horizontal="center"/>
    </xf>
    <xf numFmtId="164" fontId="24" fillId="72" borderId="31" xfId="205" applyFont="1" applyFill="1" applyBorder="1" applyAlignment="1">
      <alignment horizontal="center"/>
    </xf>
    <xf numFmtId="164" fontId="24" fillId="0" borderId="0" xfId="205" applyFont="1" applyFill="1" applyBorder="1" applyAlignment="1">
      <alignment horizontal="center"/>
    </xf>
    <xf numFmtId="164" fontId="23" fillId="68" borderId="13" xfId="205" applyFont="1" applyFill="1" applyBorder="1" applyAlignment="1">
      <alignment horizontal="center"/>
    </xf>
    <xf numFmtId="164" fontId="23" fillId="68" borderId="0" xfId="205" applyFont="1" applyFill="1" applyBorder="1" applyAlignment="1">
      <alignment horizontal="center"/>
    </xf>
    <xf numFmtId="164" fontId="23" fillId="72" borderId="84" xfId="205" applyFont="1" applyFill="1" applyBorder="1" applyAlignment="1">
      <alignment horizontal="center"/>
    </xf>
    <xf numFmtId="164" fontId="24" fillId="68" borderId="31" xfId="205" applyFont="1" applyFill="1" applyBorder="1" applyAlignment="1">
      <alignment horizontal="center"/>
    </xf>
    <xf numFmtId="164" fontId="23" fillId="68" borderId="48" xfId="205" applyFont="1" applyFill="1" applyBorder="1" applyAlignment="1">
      <alignment horizontal="center"/>
    </xf>
    <xf numFmtId="164" fontId="115" fillId="68" borderId="35" xfId="205" applyFont="1" applyFill="1" applyBorder="1" applyAlignment="1">
      <alignment horizontal="center"/>
    </xf>
    <xf numFmtId="164" fontId="115" fillId="72" borderId="50" xfId="205" applyFont="1" applyFill="1" applyBorder="1" applyAlignment="1">
      <alignment horizontal="center"/>
    </xf>
    <xf numFmtId="164" fontId="115" fillId="68" borderId="50" xfId="205" applyFont="1" applyFill="1" applyBorder="1" applyAlignment="1">
      <alignment horizontal="center"/>
    </xf>
    <xf numFmtId="164" fontId="24" fillId="0" borderId="35" xfId="205" applyFont="1" applyFill="1" applyBorder="1" applyAlignment="1">
      <alignment horizontal="center"/>
    </xf>
    <xf numFmtId="164" fontId="24" fillId="0" borderId="51" xfId="205" applyFont="1" applyFill="1" applyBorder="1" applyAlignment="1">
      <alignment horizontal="center"/>
    </xf>
    <xf numFmtId="164" fontId="24" fillId="27" borderId="51" xfId="205" applyFont="1" applyFill="1" applyBorder="1" applyAlignment="1">
      <alignment horizontal="center" wrapText="1"/>
    </xf>
    <xf numFmtId="164" fontId="24" fillId="27" borderId="50" xfId="205" applyFont="1" applyFill="1" applyBorder="1" applyAlignment="1">
      <alignment horizontal="center" wrapText="1"/>
    </xf>
    <xf numFmtId="164" fontId="24" fillId="27" borderId="35" xfId="205" applyFont="1" applyFill="1" applyBorder="1" applyAlignment="1">
      <alignment horizontal="center" wrapText="1"/>
    </xf>
    <xf numFmtId="164" fontId="24" fillId="25" borderId="50" xfId="205" applyFont="1" applyFill="1" applyBorder="1" applyAlignment="1">
      <alignment horizontal="center"/>
    </xf>
    <xf numFmtId="164" fontId="24" fillId="25" borderId="35" xfId="205" applyFont="1" applyFill="1" applyBorder="1" applyAlignment="1">
      <alignment horizontal="center"/>
    </xf>
    <xf numFmtId="164" fontId="23" fillId="68" borderId="34" xfId="205" applyFont="1" applyFill="1" applyBorder="1" applyAlignment="1">
      <alignment horizontal="center"/>
    </xf>
    <xf numFmtId="164" fontId="23" fillId="0" borderId="14" xfId="205" applyFont="1" applyFill="1" applyBorder="1" applyAlignment="1">
      <alignment horizontal="center" wrapText="1"/>
    </xf>
    <xf numFmtId="164" fontId="23" fillId="27" borderId="36" xfId="205" applyFont="1" applyFill="1" applyBorder="1" applyAlignment="1">
      <alignment horizontal="center" wrapText="1"/>
    </xf>
    <xf numFmtId="164" fontId="23" fillId="27" borderId="47" xfId="205" applyFont="1" applyFill="1" applyBorder="1" applyAlignment="1">
      <alignment horizontal="center" wrapText="1"/>
    </xf>
    <xf numFmtId="164" fontId="24" fillId="72" borderId="20" xfId="205" applyFont="1" applyFill="1" applyBorder="1" applyAlignment="1">
      <alignment horizontal="center"/>
    </xf>
    <xf numFmtId="164" fontId="23" fillId="69" borderId="15" xfId="205" applyFont="1" applyFill="1" applyBorder="1" applyAlignment="1">
      <alignment horizontal="center"/>
    </xf>
    <xf numFmtId="164" fontId="23" fillId="69" borderId="21" xfId="205" applyFont="1" applyFill="1" applyBorder="1" applyAlignment="1">
      <alignment horizontal="center"/>
    </xf>
    <xf numFmtId="164" fontId="24" fillId="25" borderId="33" xfId="205" applyFont="1" applyFill="1" applyBorder="1" applyAlignment="1">
      <alignment horizontal="center"/>
    </xf>
    <xf numFmtId="164" fontId="24" fillId="27" borderId="50" xfId="205" applyFont="1" applyFill="1" applyBorder="1" applyAlignment="1">
      <alignment horizontal="center"/>
    </xf>
    <xf numFmtId="164" fontId="24" fillId="25" borderId="17" xfId="205" applyFont="1" applyFill="1" applyBorder="1" applyAlignment="1">
      <alignment horizontal="center"/>
    </xf>
    <xf numFmtId="164" fontId="24" fillId="25" borderId="32" xfId="205" applyFont="1" applyFill="1" applyBorder="1" applyAlignment="1">
      <alignment horizontal="center"/>
    </xf>
    <xf numFmtId="3" fontId="23" fillId="68" borderId="15" xfId="0" applyNumberFormat="1" applyFont="1" applyFill="1" applyBorder="1" applyAlignment="1">
      <alignment horizontal="center" vertical="center" wrapText="1"/>
    </xf>
    <xf numFmtId="0" fontId="23" fillId="68" borderId="15" xfId="0" quotePrefix="1" applyFont="1" applyFill="1" applyBorder="1" applyAlignment="1">
      <alignment horizontal="center" vertical="center" wrapText="1"/>
    </xf>
    <xf numFmtId="164" fontId="24" fillId="25" borderId="41" xfId="205" applyFont="1" applyFill="1" applyBorder="1" applyAlignment="1">
      <alignment horizontal="center"/>
    </xf>
    <xf numFmtId="164" fontId="24" fillId="25" borderId="37" xfId="205" applyFont="1" applyFill="1" applyBorder="1" applyAlignment="1">
      <alignment horizontal="center"/>
    </xf>
    <xf numFmtId="3" fontId="23" fillId="68" borderId="43" xfId="0" applyNumberFormat="1" applyFont="1" applyFill="1" applyBorder="1" applyAlignment="1">
      <alignment horizontal="center" vertical="center" wrapText="1"/>
    </xf>
    <xf numFmtId="0" fontId="23" fillId="68" borderId="12" xfId="0" quotePrefix="1" applyFont="1" applyFill="1" applyBorder="1" applyAlignment="1">
      <alignment horizontal="center" vertical="center" wrapText="1"/>
    </xf>
    <xf numFmtId="164" fontId="23" fillId="0" borderId="26" xfId="205" applyFont="1" applyFill="1" applyBorder="1" applyAlignment="1">
      <alignment horizontal="center" wrapText="1" shrinkToFit="1"/>
    </xf>
    <xf numFmtId="164" fontId="23" fillId="68" borderId="50" xfId="205" applyFont="1" applyFill="1" applyBorder="1" applyAlignment="1">
      <alignment horizontal="center"/>
    </xf>
    <xf numFmtId="164" fontId="23" fillId="68" borderId="51" xfId="205" applyFont="1" applyFill="1" applyBorder="1" applyAlignment="1">
      <alignment horizontal="center"/>
    </xf>
    <xf numFmtId="164" fontId="115" fillId="25" borderId="50" xfId="205" applyFont="1" applyFill="1" applyBorder="1" applyAlignment="1">
      <alignment horizontal="center"/>
    </xf>
    <xf numFmtId="3" fontId="23" fillId="72" borderId="11" xfId="0" applyNumberFormat="1" applyFont="1" applyFill="1" applyBorder="1" applyAlignment="1">
      <alignment horizontal="center" vertical="center"/>
    </xf>
    <xf numFmtId="164" fontId="24" fillId="72" borderId="21" xfId="205" applyFont="1" applyFill="1" applyBorder="1" applyAlignment="1">
      <alignment horizontal="center" wrapText="1" shrinkToFit="1"/>
    </xf>
    <xf numFmtId="164" fontId="23" fillId="72" borderId="29" xfId="205" applyFont="1" applyFill="1" applyBorder="1" applyAlignment="1"/>
    <xf numFmtId="164" fontId="23" fillId="72" borderId="11" xfId="205" applyFont="1" applyFill="1" applyBorder="1" applyAlignment="1"/>
    <xf numFmtId="164" fontId="114" fillId="0" borderId="38" xfId="205" applyFont="1" applyFill="1" applyBorder="1" applyAlignment="1">
      <alignment horizontal="right" shrinkToFit="1"/>
    </xf>
    <xf numFmtId="164" fontId="29" fillId="72" borderId="38" xfId="205" applyNumberFormat="1" applyFont="1" applyFill="1" applyBorder="1" applyAlignment="1">
      <alignment vertical="center"/>
    </xf>
    <xf numFmtId="164" fontId="29" fillId="0" borderId="0" xfId="205" applyFont="1" applyAlignment="1">
      <alignment vertical="center"/>
    </xf>
    <xf numFmtId="0" fontId="63" fillId="67" borderId="38" xfId="0" applyFont="1" applyFill="1" applyBorder="1" applyAlignment="1">
      <alignment horizontal="center" vertical="center" wrapText="1"/>
    </xf>
    <xf numFmtId="0" fontId="29" fillId="67" borderId="42" xfId="0" applyFont="1" applyFill="1" applyBorder="1" applyAlignment="1">
      <alignment horizontal="center" vertical="center" wrapText="1"/>
    </xf>
    <xf numFmtId="164" fontId="31" fillId="67" borderId="40" xfId="205" applyNumberFormat="1" applyFont="1" applyFill="1" applyBorder="1" applyAlignment="1">
      <alignment vertical="center" wrapText="1"/>
    </xf>
    <xf numFmtId="0" fontId="29" fillId="67" borderId="38" xfId="0" applyFont="1" applyFill="1" applyBorder="1" applyAlignment="1">
      <alignment horizontal="center" vertical="center" wrapText="1"/>
    </xf>
    <xf numFmtId="4" fontId="75" fillId="0" borderId="58" xfId="208" applyProtection="1">
      <alignment horizontal="right" vertical="top" shrinkToFit="1"/>
    </xf>
    <xf numFmtId="164" fontId="23" fillId="69" borderId="14" xfId="205" applyFont="1" applyFill="1" applyBorder="1" applyAlignment="1"/>
    <xf numFmtId="164" fontId="23" fillId="69" borderId="33" xfId="205" applyFont="1" applyFill="1" applyBorder="1" applyAlignment="1"/>
    <xf numFmtId="164" fontId="23" fillId="69" borderId="11" xfId="205" applyFont="1" applyFill="1" applyBorder="1" applyAlignment="1"/>
    <xf numFmtId="164" fontId="23" fillId="69" borderId="29" xfId="205" applyFont="1" applyFill="1" applyBorder="1" applyAlignment="1"/>
    <xf numFmtId="0" fontId="23" fillId="68" borderId="14" xfId="0" applyFont="1" applyFill="1" applyBorder="1" applyAlignment="1">
      <alignment horizontal="center" vertical="center"/>
    </xf>
    <xf numFmtId="164" fontId="115" fillId="27" borderId="16" xfId="205" applyFont="1" applyFill="1" applyBorder="1" applyAlignment="1">
      <alignment horizontal="center"/>
    </xf>
    <xf numFmtId="164" fontId="115" fillId="27" borderId="21" xfId="205" applyFont="1" applyFill="1" applyBorder="1" applyAlignment="1">
      <alignment horizontal="center"/>
    </xf>
    <xf numFmtId="164" fontId="115" fillId="27" borderId="25" xfId="205" applyFont="1" applyFill="1" applyBorder="1" applyAlignment="1">
      <alignment horizontal="center"/>
    </xf>
    <xf numFmtId="164" fontId="115" fillId="0" borderId="16" xfId="205" applyFont="1" applyFill="1" applyBorder="1" applyAlignment="1">
      <alignment horizontal="center"/>
    </xf>
    <xf numFmtId="164" fontId="115" fillId="0" borderId="21" xfId="205" applyFont="1" applyFill="1" applyBorder="1" applyAlignment="1">
      <alignment horizontal="center"/>
    </xf>
    <xf numFmtId="164" fontId="115" fillId="0" borderId="25" xfId="205" applyFont="1" applyFill="1" applyBorder="1" applyAlignment="1">
      <alignment horizontal="center"/>
    </xf>
    <xf numFmtId="164" fontId="115" fillId="27" borderId="18" xfId="205" applyFont="1" applyFill="1" applyBorder="1" applyAlignment="1">
      <alignment horizontal="center"/>
    </xf>
    <xf numFmtId="164" fontId="115" fillId="27" borderId="20" xfId="205" applyFont="1" applyFill="1" applyBorder="1" applyAlignment="1">
      <alignment horizontal="center"/>
    </xf>
    <xf numFmtId="164" fontId="115" fillId="27" borderId="27" xfId="205" applyFont="1" applyFill="1" applyBorder="1" applyAlignment="1">
      <alignment horizontal="center"/>
    </xf>
    <xf numFmtId="164" fontId="115" fillId="0" borderId="18" xfId="205" applyFont="1" applyFill="1" applyBorder="1" applyAlignment="1">
      <alignment horizontal="center"/>
    </xf>
    <xf numFmtId="164" fontId="115" fillId="0" borderId="20" xfId="205" applyFont="1" applyFill="1" applyBorder="1" applyAlignment="1">
      <alignment horizontal="center"/>
    </xf>
    <xf numFmtId="164" fontId="115" fillId="0" borderId="27" xfId="205" applyFont="1" applyFill="1" applyBorder="1" applyAlignment="1">
      <alignment horizontal="center"/>
    </xf>
    <xf numFmtId="4" fontId="127" fillId="0" borderId="59" xfId="104" applyNumberFormat="1" applyFont="1" applyBorder="1" applyAlignment="1" applyProtection="1">
      <alignment horizontal="right" shrinkToFit="1"/>
    </xf>
    <xf numFmtId="4" fontId="127" fillId="0" borderId="82" xfId="104" applyNumberFormat="1" applyFont="1" applyBorder="1" applyAlignment="1" applyProtection="1">
      <alignment horizontal="right" shrinkToFit="1"/>
    </xf>
    <xf numFmtId="164" fontId="31" fillId="0" borderId="42" xfId="205" applyFont="1" applyFill="1" applyBorder="1" applyAlignment="1">
      <alignment horizontal="center" vertical="center"/>
    </xf>
    <xf numFmtId="164" fontId="23" fillId="68" borderId="16" xfId="205" applyFont="1" applyFill="1" applyBorder="1" applyAlignment="1">
      <alignment horizontal="center" wrapText="1" shrinkToFit="1"/>
    </xf>
    <xf numFmtId="164" fontId="23" fillId="72" borderId="19" xfId="205" applyFont="1" applyFill="1" applyBorder="1" applyAlignment="1">
      <alignment horizontal="center" wrapText="1" shrinkToFit="1"/>
    </xf>
    <xf numFmtId="164" fontId="23" fillId="72" borderId="23" xfId="205" applyFont="1" applyFill="1" applyBorder="1" applyAlignment="1">
      <alignment horizontal="center" wrapText="1" shrinkToFit="1"/>
    </xf>
    <xf numFmtId="164" fontId="23" fillId="72" borderId="28" xfId="205" applyFont="1" applyFill="1" applyBorder="1" applyAlignment="1">
      <alignment horizontal="center" wrapText="1" shrinkToFit="1"/>
    </xf>
    <xf numFmtId="164" fontId="23" fillId="68" borderId="21" xfId="205" applyFont="1" applyFill="1" applyBorder="1" applyAlignment="1">
      <alignment horizontal="center" wrapText="1" shrinkToFit="1"/>
    </xf>
    <xf numFmtId="164" fontId="23" fillId="68" borderId="25" xfId="205" applyFont="1" applyFill="1" applyBorder="1" applyAlignment="1">
      <alignment horizontal="center" wrapText="1" shrinkToFit="1"/>
    </xf>
    <xf numFmtId="164" fontId="24" fillId="72" borderId="16" xfId="205" applyFont="1" applyFill="1" applyBorder="1" applyAlignment="1">
      <alignment horizontal="center" wrapText="1" shrinkToFit="1"/>
    </xf>
    <xf numFmtId="164" fontId="24" fillId="72" borderId="25" xfId="205" applyFont="1" applyFill="1" applyBorder="1" applyAlignment="1">
      <alignment horizontal="center" wrapText="1" shrinkToFit="1"/>
    </xf>
    <xf numFmtId="164" fontId="31" fillId="0" borderId="38" xfId="0" applyNumberFormat="1" applyFont="1" applyBorder="1" applyAlignment="1">
      <alignment horizontal="center" vertical="center" wrapText="1"/>
    </xf>
    <xf numFmtId="0" fontId="32" fillId="0" borderId="38" xfId="0" applyNumberFormat="1" applyFont="1" applyBorder="1" applyAlignment="1">
      <alignment horizontal="left" vertical="center" wrapText="1"/>
    </xf>
    <xf numFmtId="164" fontId="29" fillId="0" borderId="38" xfId="205" applyNumberFormat="1" applyFont="1" applyBorder="1" applyAlignment="1">
      <alignment horizontal="center" vertical="center" wrapText="1"/>
    </xf>
    <xf numFmtId="164" fontId="23" fillId="68" borderId="27" xfId="205" applyFont="1" applyFill="1" applyBorder="1" applyAlignment="1">
      <alignment horizontal="center"/>
    </xf>
    <xf numFmtId="49" fontId="32" fillId="0" borderId="38" xfId="0" applyNumberFormat="1" applyFont="1" applyBorder="1" applyAlignment="1">
      <alignment horizontal="center" vertical="center" wrapText="1"/>
    </xf>
    <xf numFmtId="164" fontId="115" fillId="25" borderId="25" xfId="205" applyFont="1" applyFill="1" applyBorder="1" applyAlignment="1">
      <alignment horizontal="center"/>
    </xf>
    <xf numFmtId="164" fontId="115" fillId="25" borderId="19" xfId="205" applyFont="1" applyFill="1" applyBorder="1" applyAlignment="1">
      <alignment horizontal="center"/>
    </xf>
    <xf numFmtId="164" fontId="115" fillId="25" borderId="23" xfId="205" applyFont="1" applyFill="1" applyBorder="1" applyAlignment="1">
      <alignment horizontal="center"/>
    </xf>
    <xf numFmtId="164" fontId="115" fillId="25" borderId="28" xfId="205" applyFont="1" applyFill="1" applyBorder="1" applyAlignment="1">
      <alignment horizontal="center"/>
    </xf>
    <xf numFmtId="164" fontId="24" fillId="69" borderId="25" xfId="205" applyFont="1" applyFill="1" applyBorder="1" applyAlignment="1">
      <alignment horizontal="center"/>
    </xf>
    <xf numFmtId="0" fontId="23" fillId="0" borderId="38" xfId="0" applyFont="1" applyFill="1" applyBorder="1" applyAlignment="1">
      <alignment horizontal="center" vertical="center"/>
    </xf>
    <xf numFmtId="4" fontId="120" fillId="0" borderId="0" xfId="101" applyNumberFormat="1" applyFont="1" applyBorder="1" applyAlignment="1" applyProtection="1">
      <alignment horizontal="right" vertical="top" shrinkToFit="1"/>
    </xf>
    <xf numFmtId="4" fontId="3" fillId="28" borderId="0" xfId="191" applyNumberFormat="1" applyFont="1" applyFill="1" applyBorder="1" applyAlignment="1">
      <alignment horizontal="right" vertical="top" shrinkToFit="1"/>
    </xf>
    <xf numFmtId="4" fontId="123" fillId="0" borderId="0" xfId="125" applyNumberFormat="1" applyFont="1" applyBorder="1" applyAlignment="1" applyProtection="1">
      <alignment horizontal="right" vertical="top" shrinkToFit="1"/>
    </xf>
    <xf numFmtId="4" fontId="124" fillId="0" borderId="0" xfId="101" applyNumberFormat="1" applyFont="1" applyBorder="1" applyAlignment="1" applyProtection="1">
      <alignment horizontal="right" vertical="top" shrinkToFit="1"/>
    </xf>
    <xf numFmtId="4" fontId="121" fillId="0" borderId="0" xfId="116" applyNumberFormat="1" applyFont="1" applyBorder="1" applyAlignment="1" applyProtection="1">
      <alignment horizontal="right" vertical="top" shrinkToFit="1"/>
    </xf>
    <xf numFmtId="4" fontId="119" fillId="52" borderId="0" xfId="118" applyNumberFormat="1" applyFont="1" applyBorder="1" applyProtection="1">
      <alignment horizontal="right" vertical="top" shrinkToFit="1"/>
      <protection locked="0"/>
    </xf>
    <xf numFmtId="4" fontId="125" fillId="0" borderId="0" xfId="41" applyNumberFormat="1" applyFont="1" applyBorder="1" applyProtection="1">
      <alignment horizontal="right" vertical="top" shrinkToFit="1"/>
    </xf>
    <xf numFmtId="4" fontId="127" fillId="0" borderId="38" xfId="41" applyNumberFormat="1" applyFont="1" applyBorder="1" applyProtection="1">
      <alignment horizontal="right" vertical="top" shrinkToFit="1"/>
    </xf>
    <xf numFmtId="4" fontId="130" fillId="0" borderId="38" xfId="116" applyNumberFormat="1" applyFont="1" applyBorder="1" applyAlignment="1" applyProtection="1">
      <alignment horizontal="right" vertical="top" shrinkToFit="1"/>
    </xf>
    <xf numFmtId="4" fontId="132" fillId="52" borderId="38" xfId="118" applyNumberFormat="1" applyFont="1" applyBorder="1" applyProtection="1">
      <alignment horizontal="right" vertical="top" shrinkToFit="1"/>
      <protection locked="0"/>
    </xf>
    <xf numFmtId="4" fontId="127" fillId="0" borderId="0" xfId="41" applyNumberFormat="1" applyFont="1" applyBorder="1" applyProtection="1">
      <alignment horizontal="right" vertical="top" shrinkToFit="1"/>
    </xf>
    <xf numFmtId="4" fontId="127" fillId="0" borderId="42" xfId="41" applyNumberFormat="1" applyFont="1" applyBorder="1" applyProtection="1">
      <alignment horizontal="right" vertical="top" shrinkToFit="1"/>
    </xf>
    <xf numFmtId="0" fontId="23" fillId="0" borderId="38" xfId="0" applyFont="1" applyFill="1" applyBorder="1" applyAlignment="1">
      <alignment horizontal="center" vertical="center"/>
    </xf>
    <xf numFmtId="164" fontId="24" fillId="67" borderId="0" xfId="0" applyNumberFormat="1" applyFont="1" applyFill="1" applyAlignment="1">
      <alignment vertical="center"/>
    </xf>
    <xf numFmtId="0" fontId="23" fillId="67" borderId="0" xfId="0" applyFont="1" applyFill="1" applyAlignment="1">
      <alignment vertical="center"/>
    </xf>
    <xf numFmtId="164" fontId="24" fillId="0" borderId="38" xfId="205" applyNumberFormat="1" applyFont="1" applyFill="1" applyBorder="1" applyAlignment="1">
      <alignment horizontal="center" vertical="center"/>
    </xf>
    <xf numFmtId="164" fontId="24" fillId="0" borderId="38" xfId="0" applyNumberFormat="1" applyFont="1" applyFill="1" applyBorder="1" applyAlignment="1">
      <alignment vertical="center"/>
    </xf>
    <xf numFmtId="164" fontId="24" fillId="0" borderId="38" xfId="0" applyNumberFormat="1" applyFont="1" applyFill="1" applyBorder="1" applyAlignment="1">
      <alignment horizontal="center" vertical="center"/>
    </xf>
    <xf numFmtId="0" fontId="23" fillId="0" borderId="38" xfId="0" applyFont="1" applyFill="1" applyBorder="1" applyAlignment="1">
      <alignment vertical="center"/>
    </xf>
    <xf numFmtId="0" fontId="0" fillId="0" borderId="0" xfId="0" applyAlignment="1">
      <alignment vertical="center"/>
    </xf>
    <xf numFmtId="164" fontId="24" fillId="0" borderId="0" xfId="205" applyFont="1" applyFill="1" applyBorder="1" applyAlignment="1">
      <alignment horizontal="center" vertical="center"/>
    </xf>
    <xf numFmtId="164" fontId="115" fillId="67" borderId="0" xfId="0" applyNumberFormat="1" applyFont="1" applyFill="1" applyAlignment="1">
      <alignment vertical="center"/>
    </xf>
    <xf numFmtId="164" fontId="24" fillId="69" borderId="0" xfId="0" applyNumberFormat="1" applyFont="1" applyFill="1" applyAlignment="1">
      <alignment vertical="center"/>
    </xf>
    <xf numFmtId="166" fontId="133" fillId="0" borderId="0" xfId="205" applyNumberFormat="1" applyFont="1" applyFill="1"/>
    <xf numFmtId="0" fontId="134" fillId="0" borderId="0" xfId="0" applyFont="1" applyFill="1"/>
    <xf numFmtId="164" fontId="126" fillId="68" borderId="59" xfId="205" applyFont="1" applyFill="1" applyBorder="1" applyAlignment="1">
      <alignment horizontal="right" vertical="top" wrapText="1"/>
    </xf>
    <xf numFmtId="0" fontId="23" fillId="0" borderId="12" xfId="0" applyFont="1" applyFill="1" applyBorder="1" applyAlignment="1">
      <alignment horizontal="center" vertical="center" wrapText="1"/>
    </xf>
    <xf numFmtId="0" fontId="23" fillId="0" borderId="11" xfId="0" applyFont="1" applyFill="1" applyBorder="1" applyAlignment="1">
      <alignment horizontal="center" vertical="center" wrapText="1"/>
    </xf>
    <xf numFmtId="164" fontId="118" fillId="72" borderId="38" xfId="205" applyFont="1" applyFill="1" applyBorder="1" applyAlignment="1">
      <alignment horizontal="center" vertical="center" wrapText="1"/>
    </xf>
    <xf numFmtId="0" fontId="122" fillId="0" borderId="0" xfId="0" applyFont="1"/>
    <xf numFmtId="0" fontId="136" fillId="0" borderId="0" xfId="0" applyFont="1"/>
    <xf numFmtId="164" fontId="24" fillId="68" borderId="19" xfId="205" applyFont="1" applyFill="1" applyBorder="1" applyAlignment="1">
      <alignment horizontal="center"/>
    </xf>
    <xf numFmtId="164" fontId="24" fillId="68" borderId="28" xfId="205" applyFont="1" applyFill="1" applyBorder="1" applyAlignment="1">
      <alignment horizontal="center"/>
    </xf>
    <xf numFmtId="164" fontId="115" fillId="69" borderId="33" xfId="205" applyFont="1" applyFill="1" applyBorder="1" applyAlignment="1">
      <alignment horizontal="center"/>
    </xf>
    <xf numFmtId="164" fontId="24" fillId="68" borderId="33" xfId="205" applyFont="1" applyFill="1" applyBorder="1" applyAlignment="1">
      <alignment horizontal="center" wrapText="1" shrinkToFit="1"/>
    </xf>
    <xf numFmtId="164" fontId="23" fillId="0" borderId="29" xfId="205" applyFont="1" applyFill="1" applyBorder="1" applyAlignment="1">
      <alignment horizontal="center" wrapText="1"/>
    </xf>
    <xf numFmtId="164" fontId="23" fillId="0" borderId="30" xfId="205" applyFont="1" applyFill="1" applyBorder="1" applyAlignment="1">
      <alignment horizontal="center" wrapText="1"/>
    </xf>
    <xf numFmtId="164" fontId="23" fillId="27" borderId="29" xfId="205" applyFont="1" applyFill="1" applyBorder="1" applyAlignment="1">
      <alignment horizontal="center" wrapText="1"/>
    </xf>
    <xf numFmtId="164" fontId="23" fillId="27" borderId="30" xfId="205" applyFont="1" applyFill="1" applyBorder="1" applyAlignment="1">
      <alignment horizontal="center" wrapText="1"/>
    </xf>
    <xf numFmtId="164" fontId="23" fillId="25" borderId="30" xfId="205" applyFont="1" applyFill="1" applyBorder="1" applyAlignment="1">
      <alignment horizontal="center" wrapText="1"/>
    </xf>
    <xf numFmtId="164" fontId="23" fillId="25" borderId="29" xfId="205" applyFont="1" applyFill="1" applyBorder="1" applyAlignment="1">
      <alignment horizontal="center" wrapText="1"/>
    </xf>
    <xf numFmtId="164" fontId="23" fillId="0" borderId="44" xfId="205" applyFont="1" applyFill="1" applyBorder="1" applyAlignment="1">
      <alignment horizontal="center" wrapText="1"/>
    </xf>
    <xf numFmtId="164" fontId="23" fillId="27" borderId="19" xfId="205" applyFont="1" applyFill="1" applyBorder="1" applyAlignment="1">
      <alignment horizontal="center" wrapText="1" shrinkToFit="1"/>
    </xf>
    <xf numFmtId="164" fontId="23" fillId="27" borderId="28" xfId="205" applyFont="1" applyFill="1" applyBorder="1" applyAlignment="1">
      <alignment horizontal="center" wrapText="1" shrinkToFit="1"/>
    </xf>
    <xf numFmtId="164" fontId="23" fillId="27" borderId="44" xfId="205" applyFont="1" applyFill="1" applyBorder="1" applyAlignment="1">
      <alignment horizontal="center" wrapText="1"/>
    </xf>
    <xf numFmtId="164" fontId="24" fillId="27" borderId="25" xfId="205" applyFont="1" applyFill="1" applyBorder="1" applyAlignment="1">
      <alignment horizontal="center" wrapText="1"/>
    </xf>
    <xf numFmtId="164" fontId="24" fillId="27" borderId="26" xfId="205" applyFont="1" applyFill="1" applyBorder="1" applyAlignment="1">
      <alignment horizontal="center" wrapText="1"/>
    </xf>
    <xf numFmtId="164" fontId="23" fillId="25" borderId="26" xfId="205" applyFont="1" applyFill="1" applyBorder="1" applyAlignment="1">
      <alignment horizontal="center" wrapText="1" shrinkToFit="1"/>
    </xf>
    <xf numFmtId="164" fontId="23" fillId="25" borderId="25" xfId="205" applyFont="1" applyFill="1" applyBorder="1" applyAlignment="1">
      <alignment horizontal="center" wrapText="1" shrinkToFit="1"/>
    </xf>
    <xf numFmtId="164" fontId="24" fillId="0" borderId="25" xfId="205" applyFont="1" applyFill="1" applyBorder="1" applyAlignment="1">
      <alignment horizontal="center" wrapText="1"/>
    </xf>
    <xf numFmtId="164" fontId="23" fillId="0" borderId="24" xfId="205" applyFont="1" applyFill="1" applyBorder="1" applyAlignment="1">
      <alignment horizontal="center" wrapText="1"/>
    </xf>
    <xf numFmtId="164" fontId="23" fillId="27" borderId="24" xfId="205" applyFont="1" applyFill="1" applyBorder="1" applyAlignment="1">
      <alignment horizontal="center" wrapText="1"/>
    </xf>
    <xf numFmtId="4" fontId="127" fillId="0" borderId="19" xfId="48" applyFont="1" applyBorder="1" applyAlignment="1" applyProtection="1">
      <alignment horizontal="right" wrapText="1" shrinkToFit="1"/>
    </xf>
    <xf numFmtId="4" fontId="127" fillId="0" borderId="23" xfId="48" applyFont="1" applyBorder="1" applyAlignment="1" applyProtection="1">
      <alignment horizontal="right" wrapText="1" shrinkToFit="1"/>
    </xf>
    <xf numFmtId="4" fontId="127" fillId="0" borderId="28" xfId="48" applyFont="1" applyBorder="1" applyAlignment="1" applyProtection="1">
      <alignment horizontal="right" wrapText="1" shrinkToFit="1"/>
    </xf>
    <xf numFmtId="4" fontId="127" fillId="0" borderId="66" xfId="48" applyFont="1" applyBorder="1" applyAlignment="1" applyProtection="1">
      <alignment horizontal="right" wrapText="1" shrinkToFit="1"/>
    </xf>
    <xf numFmtId="164" fontId="23" fillId="69" borderId="26" xfId="205" applyFont="1" applyFill="1" applyBorder="1" applyAlignment="1">
      <alignment horizontal="center" wrapText="1" shrinkToFit="1"/>
    </xf>
    <xf numFmtId="164" fontId="24" fillId="69" borderId="25" xfId="205" applyFont="1" applyFill="1" applyBorder="1" applyAlignment="1">
      <alignment horizontal="center" wrapText="1"/>
    </xf>
    <xf numFmtId="4" fontId="127" fillId="0" borderId="17" xfId="48" applyFont="1" applyBorder="1" applyAlignment="1" applyProtection="1">
      <alignment horizontal="right" wrapText="1" shrinkToFit="1"/>
    </xf>
    <xf numFmtId="4" fontId="127" fillId="0" borderId="22" xfId="48" applyFont="1" applyBorder="1" applyAlignment="1" applyProtection="1">
      <alignment horizontal="right" wrapText="1" shrinkToFit="1"/>
    </xf>
    <xf numFmtId="4" fontId="127" fillId="0" borderId="26" xfId="48" applyFont="1" applyBorder="1" applyAlignment="1" applyProtection="1">
      <alignment horizontal="right" wrapText="1" shrinkToFit="1"/>
    </xf>
    <xf numFmtId="0" fontId="23" fillId="0" borderId="47" xfId="0" applyFont="1" applyFill="1" applyBorder="1" applyAlignment="1">
      <alignment horizontal="center" vertical="center" wrapText="1"/>
    </xf>
    <xf numFmtId="0" fontId="23" fillId="0" borderId="15"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9" fillId="0" borderId="38" xfId="0" applyFont="1" applyFill="1" applyBorder="1" applyAlignment="1">
      <alignment horizontal="center" vertical="center"/>
    </xf>
    <xf numFmtId="0" fontId="23" fillId="0" borderId="11" xfId="0" applyFont="1" applyFill="1" applyBorder="1" applyAlignment="1">
      <alignment horizontal="center" vertical="center" wrapText="1"/>
    </xf>
    <xf numFmtId="164" fontId="23" fillId="27" borderId="50" xfId="205" applyFont="1" applyFill="1" applyBorder="1" applyAlignment="1">
      <alignment horizontal="center" wrapText="1" shrinkToFit="1"/>
    </xf>
    <xf numFmtId="164" fontId="23" fillId="27" borderId="26" xfId="205" applyFont="1" applyFill="1" applyBorder="1" applyAlignment="1">
      <alignment horizontal="center" wrapText="1" shrinkToFit="1"/>
    </xf>
    <xf numFmtId="164" fontId="24" fillId="0" borderId="19" xfId="205" applyFont="1" applyFill="1" applyBorder="1" applyAlignment="1">
      <alignment horizontal="center"/>
    </xf>
    <xf numFmtId="164" fontId="24" fillId="0" borderId="28" xfId="205" applyFont="1" applyFill="1" applyBorder="1" applyAlignment="1">
      <alignment horizontal="center"/>
    </xf>
    <xf numFmtId="164" fontId="24" fillId="68" borderId="18" xfId="205" applyFont="1" applyFill="1" applyBorder="1" applyAlignment="1">
      <alignment horizontal="center"/>
    </xf>
    <xf numFmtId="164" fontId="24" fillId="68" borderId="27" xfId="205" applyFont="1" applyFill="1" applyBorder="1" applyAlignment="1">
      <alignment horizontal="center"/>
    </xf>
    <xf numFmtId="0" fontId="4" fillId="68" borderId="15" xfId="0" applyFont="1" applyFill="1" applyBorder="1" applyAlignment="1">
      <alignment horizontal="center" vertical="center" wrapText="1"/>
    </xf>
    <xf numFmtId="164" fontId="24" fillId="25" borderId="29" xfId="205" applyFont="1" applyFill="1" applyBorder="1" applyAlignment="1">
      <alignment horizontal="center"/>
    </xf>
    <xf numFmtId="0" fontId="23" fillId="25" borderId="36" xfId="0" quotePrefix="1" applyFont="1" applyFill="1" applyBorder="1" applyAlignment="1">
      <alignment horizontal="center" vertical="center" wrapText="1"/>
    </xf>
    <xf numFmtId="4" fontId="130" fillId="0" borderId="42" xfId="116" applyNumberFormat="1" applyFont="1" applyBorder="1" applyAlignment="1" applyProtection="1">
      <alignment horizontal="right" vertical="top" shrinkToFit="1"/>
    </xf>
    <xf numFmtId="164" fontId="7" fillId="0" borderId="38" xfId="205" applyNumberFormat="1" applyFont="1" applyFill="1" applyBorder="1" applyAlignment="1">
      <alignment vertical="center"/>
    </xf>
    <xf numFmtId="49" fontId="32" fillId="0" borderId="38" xfId="0" applyNumberFormat="1" applyFont="1" applyBorder="1" applyAlignment="1">
      <alignment horizontal="center" vertical="center" wrapText="1"/>
    </xf>
    <xf numFmtId="164" fontId="30" fillId="0" borderId="38" xfId="205" applyFont="1" applyFill="1" applyBorder="1" applyAlignment="1">
      <alignment horizontal="center" wrapText="1" shrinkToFit="1"/>
    </xf>
    <xf numFmtId="164" fontId="20" fillId="0" borderId="38" xfId="205" applyFont="1" applyFill="1" applyBorder="1" applyAlignment="1">
      <alignment horizontal="center" shrinkToFit="1"/>
    </xf>
    <xf numFmtId="164" fontId="20" fillId="0" borderId="38" xfId="205" applyFont="1" applyBorder="1" applyAlignment="1">
      <alignment horizontal="center" wrapText="1" shrinkToFit="1"/>
    </xf>
    <xf numFmtId="164" fontId="20" fillId="0" borderId="38" xfId="205" applyFont="1" applyBorder="1" applyAlignment="1">
      <alignment horizontal="center" shrinkToFit="1"/>
    </xf>
    <xf numFmtId="164" fontId="20" fillId="0" borderId="40" xfId="205" applyFont="1" applyFill="1" applyBorder="1" applyAlignment="1">
      <alignment horizontal="center"/>
    </xf>
    <xf numFmtId="164" fontId="66" fillId="0" borderId="38" xfId="205" applyFont="1" applyBorder="1" applyAlignment="1">
      <alignment horizontal="center"/>
    </xf>
    <xf numFmtId="4" fontId="127" fillId="0" borderId="59" xfId="101" applyNumberFormat="1" applyFont="1" applyBorder="1" applyAlignment="1" applyProtection="1">
      <alignment horizontal="right" shrinkToFit="1"/>
    </xf>
    <xf numFmtId="0" fontId="23" fillId="0" borderId="36" xfId="0" applyFont="1" applyFill="1" applyBorder="1" applyAlignment="1">
      <alignment horizontal="center" vertical="center" wrapText="1"/>
    </xf>
    <xf numFmtId="49" fontId="32" fillId="0" borderId="38" xfId="0" applyNumberFormat="1" applyFont="1" applyBorder="1" applyAlignment="1">
      <alignment horizontal="center" vertical="center" wrapText="1"/>
    </xf>
    <xf numFmtId="0" fontId="23" fillId="25" borderId="36" xfId="0" applyFont="1" applyFill="1" applyBorder="1" applyAlignment="1">
      <alignment horizontal="center" vertical="center" wrapText="1"/>
    </xf>
    <xf numFmtId="164" fontId="23" fillId="72" borderId="37" xfId="205" applyFont="1" applyFill="1" applyBorder="1" applyAlignment="1">
      <alignment horizontal="center"/>
    </xf>
    <xf numFmtId="3" fontId="23" fillId="25" borderId="14" xfId="0" applyNumberFormat="1" applyFont="1" applyFill="1" applyBorder="1" applyAlignment="1">
      <alignment horizontal="center" vertical="center" wrapText="1"/>
    </xf>
    <xf numFmtId="3" fontId="23" fillId="72" borderId="34" xfId="0" applyNumberFormat="1" applyFont="1" applyFill="1" applyBorder="1" applyAlignment="1">
      <alignment horizontal="center" vertical="center" wrapText="1"/>
    </xf>
    <xf numFmtId="164" fontId="31" fillId="0" borderId="40" xfId="205" applyNumberFormat="1" applyFont="1" applyFill="1" applyBorder="1" applyAlignment="1">
      <alignment horizontal="center" vertical="center"/>
    </xf>
    <xf numFmtId="49" fontId="32" fillId="0" borderId="38" xfId="0" applyNumberFormat="1" applyFont="1" applyBorder="1" applyAlignment="1">
      <alignment horizontal="center" vertical="center" wrapText="1"/>
    </xf>
    <xf numFmtId="49" fontId="32" fillId="0" borderId="38" xfId="0" applyNumberFormat="1" applyFont="1" applyBorder="1" applyAlignment="1">
      <alignment horizontal="center" vertical="center" wrapText="1"/>
    </xf>
    <xf numFmtId="0" fontId="4" fillId="68" borderId="29" xfId="0" applyFont="1" applyFill="1" applyBorder="1" applyAlignment="1">
      <alignment horizontal="center" vertical="center" wrapText="1"/>
    </xf>
    <xf numFmtId="0" fontId="4" fillId="72" borderId="30" xfId="0" applyFont="1" applyFill="1" applyBorder="1" applyAlignment="1">
      <alignment horizontal="center" vertical="center" wrapText="1"/>
    </xf>
    <xf numFmtId="164" fontId="115" fillId="68" borderId="29" xfId="205" applyFont="1" applyFill="1" applyBorder="1" applyAlignment="1">
      <alignment horizontal="center"/>
    </xf>
    <xf numFmtId="164" fontId="115" fillId="72" borderId="44" xfId="205" applyFont="1" applyFill="1" applyBorder="1" applyAlignment="1">
      <alignment horizontal="center"/>
    </xf>
    <xf numFmtId="164" fontId="31" fillId="0" borderId="38" xfId="0" applyNumberFormat="1"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69" borderId="36" xfId="0" applyFont="1" applyFill="1" applyBorder="1" applyAlignment="1">
      <alignment horizontal="center" vertical="center" wrapText="1"/>
    </xf>
    <xf numFmtId="0" fontId="23" fillId="27" borderId="36" xfId="0" applyFont="1" applyFill="1" applyBorder="1" applyAlignment="1">
      <alignment horizontal="center" vertical="center" wrapText="1"/>
    </xf>
    <xf numFmtId="0" fontId="23" fillId="27" borderId="34" xfId="0" applyFont="1" applyFill="1" applyBorder="1" applyAlignment="1">
      <alignment horizontal="center" vertical="center" wrapText="1"/>
    </xf>
    <xf numFmtId="4" fontId="23" fillId="0" borderId="38" xfId="190" applyNumberFormat="1" applyFont="1" applyFill="1" applyBorder="1" applyAlignment="1">
      <alignment horizontal="right" vertical="top" shrinkToFit="1"/>
    </xf>
    <xf numFmtId="164" fontId="23" fillId="0" borderId="17" xfId="205" applyFont="1" applyFill="1" applyBorder="1" applyAlignment="1">
      <alignment horizontal="center" wrapText="1" shrinkToFit="1"/>
    </xf>
    <xf numFmtId="0" fontId="0" fillId="0" borderId="45" xfId="0" applyBorder="1"/>
    <xf numFmtId="0" fontId="4" fillId="0" borderId="0" xfId="0" applyFont="1" applyFill="1"/>
    <xf numFmtId="0" fontId="17" fillId="72" borderId="14" xfId="0" applyFont="1" applyFill="1" applyBorder="1" applyAlignment="1">
      <alignment horizontal="center" vertical="center"/>
    </xf>
    <xf numFmtId="49" fontId="32" fillId="0" borderId="38" xfId="0" applyNumberFormat="1" applyFont="1" applyBorder="1" applyAlignment="1">
      <alignment horizontal="center" vertical="center" wrapText="1"/>
    </xf>
    <xf numFmtId="0" fontId="23" fillId="27" borderId="15" xfId="0" applyFont="1" applyFill="1" applyBorder="1" applyAlignment="1">
      <alignment horizontal="center" vertical="center" wrapText="1"/>
    </xf>
    <xf numFmtId="0" fontId="23" fillId="0" borderId="0" xfId="0" applyFont="1" applyFill="1" applyBorder="1" applyAlignment="1">
      <alignment horizontal="center" vertical="center" wrapText="1"/>
    </xf>
    <xf numFmtId="49" fontId="32" fillId="0" borderId="38" xfId="0" applyNumberFormat="1" applyFont="1" applyBorder="1" applyAlignment="1">
      <alignment horizontal="center" vertical="center" wrapText="1"/>
    </xf>
    <xf numFmtId="165" fontId="12" fillId="0" borderId="0" xfId="0" applyNumberFormat="1" applyFont="1" applyAlignment="1">
      <alignment horizontal="center" vertical="center"/>
    </xf>
    <xf numFmtId="0" fontId="3" fillId="0" borderId="0" xfId="0" applyFont="1" applyAlignment="1">
      <alignment horizontal="center" vertical="center"/>
    </xf>
    <xf numFmtId="164" fontId="11" fillId="0" borderId="0" xfId="0" applyNumberFormat="1" applyFont="1" applyFill="1" applyAlignment="1">
      <alignment vertical="center"/>
    </xf>
    <xf numFmtId="49" fontId="137" fillId="72" borderId="38" xfId="0" applyNumberFormat="1" applyFont="1" applyFill="1" applyBorder="1" applyAlignment="1">
      <alignment horizontal="center" vertical="center" wrapText="1"/>
    </xf>
    <xf numFmtId="0" fontId="63" fillId="72" borderId="38" xfId="0" applyFont="1" applyFill="1" applyBorder="1" applyAlignment="1">
      <alignment horizontal="center" vertical="center" wrapText="1"/>
    </xf>
    <xf numFmtId="165" fontId="62" fillId="0" borderId="0" xfId="205" applyNumberFormat="1" applyFont="1" applyAlignment="1">
      <alignment horizontal="center" vertical="center" wrapText="1"/>
    </xf>
    <xf numFmtId="164" fontId="138" fillId="0" borderId="0" xfId="0" applyNumberFormat="1" applyFont="1" applyAlignment="1">
      <alignment vertical="center"/>
    </xf>
    <xf numFmtId="164" fontId="115" fillId="72" borderId="16" xfId="205" applyFont="1" applyFill="1" applyBorder="1" applyAlignment="1">
      <alignment horizontal="center" wrapText="1" shrinkToFit="1"/>
    </xf>
    <xf numFmtId="164" fontId="115" fillId="72" borderId="21" xfId="205" applyFont="1" applyFill="1" applyBorder="1" applyAlignment="1">
      <alignment horizontal="center" wrapText="1" shrinkToFit="1"/>
    </xf>
    <xf numFmtId="164" fontId="115" fillId="72" borderId="25" xfId="205" applyFont="1" applyFill="1" applyBorder="1" applyAlignment="1">
      <alignment horizontal="center" wrapText="1" shrinkToFit="1"/>
    </xf>
    <xf numFmtId="0" fontId="17" fillId="72" borderId="11" xfId="0" applyFont="1" applyFill="1" applyBorder="1" applyAlignment="1">
      <alignment horizontal="center" vertical="center"/>
    </xf>
    <xf numFmtId="49" fontId="32" fillId="0" borderId="41" xfId="0" applyNumberFormat="1" applyFont="1" applyFill="1" applyBorder="1" applyAlignment="1">
      <alignment horizontal="center" vertical="center" wrapText="1"/>
    </xf>
    <xf numFmtId="0" fontId="23" fillId="0" borderId="36" xfId="0" applyFont="1" applyFill="1" applyBorder="1" applyAlignment="1">
      <alignment horizontal="center" vertical="center" wrapText="1"/>
    </xf>
    <xf numFmtId="4" fontId="117" fillId="0" borderId="38" xfId="40" applyFont="1" applyFill="1" applyBorder="1" applyProtection="1">
      <alignment horizontal="right" shrinkToFit="1"/>
    </xf>
    <xf numFmtId="49" fontId="32" fillId="75" borderId="41" xfId="0" applyNumberFormat="1" applyFont="1" applyFill="1" applyBorder="1" applyAlignment="1">
      <alignment horizontal="center" vertical="center" wrapText="1"/>
    </xf>
    <xf numFmtId="0" fontId="23" fillId="0" borderId="15" xfId="0" applyFont="1" applyFill="1" applyBorder="1" applyAlignment="1">
      <alignment horizontal="center" vertical="center" wrapText="1"/>
    </xf>
    <xf numFmtId="3" fontId="23" fillId="72" borderId="14" xfId="0" applyNumberFormat="1" applyFont="1" applyFill="1" applyBorder="1" applyAlignment="1">
      <alignment horizontal="center" vertical="center" wrapText="1"/>
    </xf>
    <xf numFmtId="49" fontId="32" fillId="74" borderId="41" xfId="0" applyNumberFormat="1" applyFont="1" applyFill="1" applyBorder="1" applyAlignment="1">
      <alignment horizontal="center" vertical="center" wrapText="1"/>
    </xf>
    <xf numFmtId="164" fontId="23" fillId="25" borderId="18" xfId="205" applyFont="1" applyFill="1" applyBorder="1" applyAlignment="1">
      <alignment horizontal="center"/>
    </xf>
    <xf numFmtId="164" fontId="23" fillId="25" borderId="27" xfId="205" applyFont="1" applyFill="1" applyBorder="1" applyAlignment="1">
      <alignment horizontal="center"/>
    </xf>
    <xf numFmtId="0" fontId="23" fillId="0" borderId="11" xfId="0" applyFont="1" applyFill="1" applyBorder="1" applyAlignment="1">
      <alignment horizontal="center" vertical="center" wrapText="1"/>
    </xf>
    <xf numFmtId="0" fontId="4" fillId="0" borderId="34" xfId="0" applyFont="1" applyBorder="1" applyAlignment="1"/>
    <xf numFmtId="0" fontId="4" fillId="0" borderId="47" xfId="0" applyFont="1" applyBorder="1" applyAlignment="1"/>
    <xf numFmtId="164" fontId="23" fillId="72" borderId="13" xfId="205" applyFont="1" applyFill="1" applyBorder="1" applyAlignment="1">
      <alignment horizontal="center"/>
    </xf>
    <xf numFmtId="164" fontId="23" fillId="0" borderId="45" xfId="0" applyNumberFormat="1" applyFont="1" applyFill="1" applyBorder="1" applyAlignment="1">
      <alignment vertical="center"/>
    </xf>
    <xf numFmtId="166" fontId="7" fillId="0" borderId="38" xfId="205" applyNumberFormat="1" applyFont="1" applyBorder="1" applyAlignment="1">
      <alignment horizontal="center" vertical="center"/>
    </xf>
    <xf numFmtId="164" fontId="128" fillId="0" borderId="59" xfId="205" applyFont="1" applyFill="1" applyBorder="1" applyAlignment="1" applyProtection="1">
      <alignment horizontal="right" vertical="center" shrinkToFit="1"/>
    </xf>
    <xf numFmtId="164" fontId="122" fillId="0" borderId="0" xfId="0" applyNumberFormat="1" applyFont="1" applyFill="1" applyAlignment="1">
      <alignment horizontal="center"/>
    </xf>
    <xf numFmtId="0" fontId="5" fillId="0" borderId="38" xfId="0" applyFont="1" applyFill="1" applyBorder="1" applyAlignment="1">
      <alignment horizontal="center" vertical="center"/>
    </xf>
    <xf numFmtId="0" fontId="23" fillId="0" borderId="0" xfId="0" applyFont="1" applyFill="1" applyAlignment="1">
      <alignment horizontal="center" vertical="center"/>
    </xf>
    <xf numFmtId="0" fontId="8" fillId="27" borderId="34" xfId="0" applyFont="1" applyFill="1" applyBorder="1" applyAlignment="1">
      <alignment horizontal="center" vertical="center" wrapText="1"/>
    </xf>
    <xf numFmtId="0" fontId="8" fillId="27" borderId="47"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27" borderId="36" xfId="0" applyFont="1" applyFill="1" applyBorder="1" applyAlignment="1">
      <alignment horizontal="center" vertical="center" wrapText="1"/>
    </xf>
    <xf numFmtId="49" fontId="32" fillId="0" borderId="38" xfId="0" applyNumberFormat="1" applyFont="1" applyBorder="1" applyAlignment="1">
      <alignment horizontal="center" vertical="center" wrapText="1"/>
    </xf>
    <xf numFmtId="0" fontId="23" fillId="0" borderId="36" xfId="0" applyFont="1" applyFill="1" applyBorder="1" applyAlignment="1">
      <alignment horizontal="center" vertical="center" wrapText="1"/>
    </xf>
    <xf numFmtId="0" fontId="23" fillId="0" borderId="0" xfId="0" applyFont="1" applyFill="1" applyAlignment="1">
      <alignment horizontal="center" vertical="center"/>
    </xf>
    <xf numFmtId="49" fontId="32" fillId="0" borderId="38" xfId="0" applyNumberFormat="1" applyFont="1" applyBorder="1" applyAlignment="1">
      <alignment horizontal="center" vertical="center" wrapText="1"/>
    </xf>
    <xf numFmtId="164" fontId="21" fillId="0" borderId="50" xfId="205" applyNumberFormat="1" applyFont="1" applyFill="1" applyBorder="1" applyAlignment="1">
      <alignment horizontal="center"/>
    </xf>
    <xf numFmtId="164" fontId="24" fillId="0" borderId="19" xfId="205" applyFont="1" applyFill="1" applyBorder="1" applyAlignment="1">
      <alignment horizontal="center" wrapText="1" shrinkToFit="1"/>
    </xf>
    <xf numFmtId="164" fontId="24" fillId="0" borderId="28" xfId="205" applyFont="1" applyFill="1" applyBorder="1" applyAlignment="1">
      <alignment horizontal="center" wrapText="1" shrinkToFit="1"/>
    </xf>
    <xf numFmtId="164" fontId="24" fillId="27" borderId="27" xfId="205" applyFont="1" applyFill="1" applyBorder="1" applyAlignment="1">
      <alignment horizontal="center" wrapText="1"/>
    </xf>
    <xf numFmtId="164" fontId="23" fillId="27" borderId="17" xfId="205" applyFont="1" applyFill="1" applyBorder="1" applyAlignment="1">
      <alignment horizontal="center" wrapText="1" shrinkToFit="1"/>
    </xf>
    <xf numFmtId="0" fontId="0" fillId="0" borderId="0" xfId="0" applyBorder="1" applyAlignment="1">
      <alignment wrapText="1"/>
    </xf>
    <xf numFmtId="0" fontId="23" fillId="0" borderId="0" xfId="0" applyFont="1" applyFill="1" applyBorder="1" applyAlignment="1">
      <alignment horizontal="center"/>
    </xf>
    <xf numFmtId="164" fontId="115" fillId="0" borderId="29" xfId="205" applyFont="1" applyFill="1" applyBorder="1" applyAlignment="1">
      <alignment horizontal="center"/>
    </xf>
    <xf numFmtId="164" fontId="24" fillId="68" borderId="27" xfId="205" applyFont="1" applyFill="1" applyBorder="1" applyAlignment="1">
      <alignment horizontal="center" wrapText="1" shrinkToFit="1"/>
    </xf>
    <xf numFmtId="164" fontId="24" fillId="68" borderId="19" xfId="205" applyFont="1" applyFill="1" applyBorder="1" applyAlignment="1">
      <alignment horizontal="center" wrapText="1" shrinkToFit="1"/>
    </xf>
    <xf numFmtId="164" fontId="24" fillId="68" borderId="23" xfId="205" applyFont="1" applyFill="1" applyBorder="1" applyAlignment="1">
      <alignment horizontal="center" wrapText="1" shrinkToFit="1"/>
    </xf>
    <xf numFmtId="164" fontId="24" fillId="68" borderId="51" xfId="205" applyFont="1" applyFill="1" applyBorder="1" applyAlignment="1">
      <alignment horizontal="center" wrapText="1" shrinkToFit="1"/>
    </xf>
    <xf numFmtId="164" fontId="24" fillId="72" borderId="50" xfId="205" applyFont="1" applyFill="1" applyBorder="1" applyAlignment="1">
      <alignment horizontal="center" wrapText="1" shrinkToFit="1"/>
    </xf>
    <xf numFmtId="164" fontId="24" fillId="68" borderId="83" xfId="205" applyFont="1" applyFill="1" applyBorder="1" applyAlignment="1">
      <alignment horizontal="center" wrapText="1" shrinkToFit="1"/>
    </xf>
    <xf numFmtId="164" fontId="24" fillId="68" borderId="36" xfId="205" applyFont="1" applyFill="1" applyBorder="1" applyAlignment="1">
      <alignment horizontal="center" wrapText="1" shrinkToFit="1"/>
    </xf>
    <xf numFmtId="164" fontId="24" fillId="72" borderId="14" xfId="205" applyFont="1" applyFill="1" applyBorder="1" applyAlignment="1">
      <alignment horizontal="center" wrapText="1" shrinkToFit="1"/>
    </xf>
    <xf numFmtId="164" fontId="24" fillId="68" borderId="47" xfId="205" applyFont="1" applyFill="1" applyBorder="1" applyAlignment="1">
      <alignment horizontal="center" wrapText="1" shrinkToFit="1"/>
    </xf>
    <xf numFmtId="0" fontId="23" fillId="25" borderId="11" xfId="0" applyFont="1" applyFill="1" applyBorder="1" applyAlignment="1">
      <alignment horizontal="center" vertical="center"/>
    </xf>
    <xf numFmtId="0" fontId="23" fillId="25" borderId="12" xfId="0" applyFont="1" applyFill="1" applyBorder="1" applyAlignment="1">
      <alignment horizontal="center" vertical="center"/>
    </xf>
    <xf numFmtId="4" fontId="127" fillId="0" borderId="87" xfId="104" applyNumberFormat="1" applyFont="1" applyBorder="1" applyAlignment="1" applyProtection="1">
      <alignment horizontal="right" shrinkToFit="1"/>
    </xf>
    <xf numFmtId="4" fontId="127" fillId="0" borderId="21" xfId="104" applyNumberFormat="1" applyFont="1" applyBorder="1" applyAlignment="1" applyProtection="1">
      <alignment horizontal="right" shrinkToFit="1"/>
    </xf>
    <xf numFmtId="0" fontId="23" fillId="0" borderId="15" xfId="0" applyFont="1" applyFill="1" applyBorder="1" applyAlignment="1">
      <alignment horizontal="center" vertical="center" wrapText="1"/>
    </xf>
    <xf numFmtId="0" fontId="23" fillId="0" borderId="43" xfId="0" applyFont="1" applyFill="1" applyBorder="1" applyAlignment="1">
      <alignment horizontal="center" vertical="center" wrapText="1"/>
    </xf>
    <xf numFmtId="0" fontId="23" fillId="0" borderId="11" xfId="0" applyFont="1" applyFill="1" applyBorder="1" applyAlignment="1">
      <alignment horizontal="center" vertical="center" wrapText="1"/>
    </xf>
    <xf numFmtId="164" fontId="23" fillId="0" borderId="16" xfId="205" applyFont="1" applyFill="1" applyBorder="1" applyAlignment="1">
      <alignment horizontal="center" wrapText="1" shrinkToFit="1"/>
    </xf>
    <xf numFmtId="164" fontId="23" fillId="0" borderId="25" xfId="205" applyFont="1" applyFill="1" applyBorder="1" applyAlignment="1">
      <alignment horizontal="center" wrapText="1" shrinkToFit="1"/>
    </xf>
    <xf numFmtId="164" fontId="115" fillId="0" borderId="0" xfId="0" applyNumberFormat="1" applyFont="1" applyAlignment="1">
      <alignment horizontal="center" vertical="center"/>
    </xf>
    <xf numFmtId="0" fontId="23" fillId="0" borderId="11" xfId="0" applyFont="1" applyFill="1" applyBorder="1" applyAlignment="1">
      <alignment horizontal="center" vertical="center" wrapText="1"/>
    </xf>
    <xf numFmtId="0" fontId="23" fillId="0" borderId="47" xfId="0" applyFont="1" applyFill="1" applyBorder="1" applyAlignment="1">
      <alignment vertical="center"/>
    </xf>
    <xf numFmtId="0" fontId="23" fillId="0" borderId="34" xfId="0" applyFont="1" applyFill="1" applyBorder="1" applyAlignment="1">
      <alignment vertical="center"/>
    </xf>
    <xf numFmtId="0" fontId="23" fillId="0" borderId="36" xfId="0" applyFont="1" applyFill="1" applyBorder="1" applyAlignment="1">
      <alignment vertical="center"/>
    </xf>
    <xf numFmtId="166" fontId="115" fillId="0" borderId="38" xfId="0" applyNumberFormat="1" applyFont="1" applyFill="1" applyBorder="1" applyAlignment="1">
      <alignment vertical="center"/>
    </xf>
    <xf numFmtId="171" fontId="20" fillId="0" borderId="38" xfId="0" applyNumberFormat="1" applyFont="1" applyFill="1" applyBorder="1" applyAlignment="1">
      <alignment horizontal="center"/>
    </xf>
    <xf numFmtId="171" fontId="20" fillId="0" borderId="38" xfId="205" applyNumberFormat="1" applyFont="1" applyFill="1" applyBorder="1" applyAlignment="1">
      <alignment horizontal="center"/>
    </xf>
    <xf numFmtId="0" fontId="29" fillId="0" borderId="0" xfId="0" applyFont="1" applyFill="1" applyAlignment="1">
      <alignment horizontal="right"/>
    </xf>
    <xf numFmtId="172" fontId="30" fillId="68" borderId="38" xfId="0" applyNumberFormat="1" applyFont="1" applyFill="1" applyBorder="1"/>
    <xf numFmtId="172" fontId="30" fillId="0" borderId="38" xfId="205" applyNumberFormat="1" applyFont="1" applyFill="1" applyBorder="1"/>
    <xf numFmtId="172" fontId="0" fillId="0" borderId="0" xfId="0" applyNumberFormat="1" applyFill="1"/>
    <xf numFmtId="0" fontId="34" fillId="0" borderId="0" xfId="0" applyFont="1" applyFill="1"/>
    <xf numFmtId="172" fontId="34" fillId="68" borderId="0" xfId="0" applyNumberFormat="1" applyFont="1" applyFill="1"/>
    <xf numFmtId="172" fontId="34" fillId="0" borderId="0" xfId="0" applyNumberFormat="1" applyFont="1" applyFill="1"/>
    <xf numFmtId="172" fontId="30" fillId="0" borderId="38" xfId="0" applyNumberFormat="1" applyFont="1" applyFill="1" applyBorder="1"/>
    <xf numFmtId="171" fontId="30" fillId="0" borderId="38" xfId="0" applyNumberFormat="1" applyFont="1" applyFill="1" applyBorder="1"/>
    <xf numFmtId="172" fontId="139" fillId="0" borderId="0" xfId="0" applyNumberFormat="1" applyFont="1" applyFill="1"/>
    <xf numFmtId="172" fontId="133" fillId="68" borderId="0" xfId="0" applyNumberFormat="1" applyFont="1" applyFill="1"/>
    <xf numFmtId="164" fontId="115" fillId="25" borderId="18" xfId="205" applyFont="1" applyFill="1" applyBorder="1" applyAlignment="1">
      <alignment horizontal="center"/>
    </xf>
    <xf numFmtId="164" fontId="115" fillId="25" borderId="20" xfId="205" applyFont="1" applyFill="1" applyBorder="1" applyAlignment="1">
      <alignment horizontal="center"/>
    </xf>
    <xf numFmtId="164" fontId="115" fillId="25" borderId="27" xfId="205" applyFont="1" applyFill="1" applyBorder="1" applyAlignment="1">
      <alignment horizontal="center"/>
    </xf>
    <xf numFmtId="0" fontId="23" fillId="0" borderId="36" xfId="0" applyFont="1" applyFill="1" applyBorder="1" applyAlignment="1">
      <alignment horizontal="center" vertical="center" wrapText="1"/>
    </xf>
    <xf numFmtId="0" fontId="23" fillId="0" borderId="34" xfId="0" applyFont="1" applyFill="1" applyBorder="1" applyAlignment="1">
      <alignment vertical="center"/>
    </xf>
    <xf numFmtId="0" fontId="23" fillId="0" borderId="29"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38" xfId="0" applyFont="1" applyFill="1" applyBorder="1" applyAlignment="1">
      <alignment horizontal="center" vertical="center"/>
    </xf>
    <xf numFmtId="4" fontId="130" fillId="0" borderId="0" xfId="101" applyNumberFormat="1" applyFont="1" applyBorder="1" applyAlignment="1" applyProtection="1">
      <alignment horizontal="right" vertical="top" shrinkToFit="1"/>
    </xf>
    <xf numFmtId="4" fontId="122" fillId="0" borderId="0" xfId="116" applyNumberFormat="1" applyFont="1" applyBorder="1" applyAlignment="1" applyProtection="1">
      <alignment horizontal="right" vertical="top" shrinkToFit="1"/>
    </xf>
    <xf numFmtId="164" fontId="23" fillId="0" borderId="23" xfId="205" applyFont="1" applyFill="1" applyBorder="1" applyAlignment="1">
      <alignment horizontal="center" wrapText="1" shrinkToFit="1"/>
    </xf>
    <xf numFmtId="164" fontId="23" fillId="27" borderId="13" xfId="205" applyFont="1" applyFill="1" applyBorder="1" applyAlignment="1">
      <alignment horizontal="center"/>
    </xf>
    <xf numFmtId="164" fontId="24" fillId="27" borderId="37" xfId="205" applyFont="1" applyFill="1" applyBorder="1" applyAlignment="1">
      <alignment horizontal="center"/>
    </xf>
    <xf numFmtId="164" fontId="23" fillId="27" borderId="36" xfId="205" applyFont="1" applyFill="1" applyBorder="1" applyAlignment="1">
      <alignment horizontal="center"/>
    </xf>
    <xf numFmtId="164" fontId="23" fillId="0" borderId="48" xfId="205" applyFont="1" applyBorder="1" applyAlignment="1">
      <alignment horizontal="center" wrapText="1" shrinkToFit="1"/>
    </xf>
    <xf numFmtId="164" fontId="23" fillId="0" borderId="49" xfId="205" applyFont="1" applyFill="1" applyBorder="1" applyAlignment="1">
      <alignment horizontal="center" wrapText="1" shrinkToFit="1"/>
    </xf>
    <xf numFmtId="164" fontId="115" fillId="68" borderId="18" xfId="205" applyFont="1" applyFill="1" applyBorder="1" applyAlignment="1">
      <alignment horizontal="center"/>
    </xf>
    <xf numFmtId="164" fontId="115" fillId="68" borderId="20" xfId="205" applyFont="1" applyFill="1" applyBorder="1" applyAlignment="1">
      <alignment horizontal="center"/>
    </xf>
    <xf numFmtId="164" fontId="115" fillId="68" borderId="27" xfId="205" applyFont="1" applyFill="1" applyBorder="1" applyAlignment="1">
      <alignment horizontal="center"/>
    </xf>
    <xf numFmtId="164" fontId="24" fillId="69" borderId="29" xfId="205" applyFont="1" applyFill="1" applyBorder="1" applyAlignment="1">
      <alignment horizontal="center"/>
    </xf>
    <xf numFmtId="164" fontId="24" fillId="72" borderId="18" xfId="205" applyFont="1" applyFill="1" applyBorder="1" applyAlignment="1">
      <alignment horizontal="center" wrapText="1" shrinkToFit="1"/>
    </xf>
    <xf numFmtId="164" fontId="24" fillId="72" borderId="20" xfId="205" applyFont="1" applyFill="1" applyBorder="1" applyAlignment="1">
      <alignment horizontal="center" wrapText="1" shrinkToFit="1"/>
    </xf>
    <xf numFmtId="164" fontId="24" fillId="72" borderId="27" xfId="205" applyFont="1" applyFill="1" applyBorder="1" applyAlignment="1">
      <alignment horizontal="center" wrapText="1" shrinkToFit="1"/>
    </xf>
    <xf numFmtId="164" fontId="23" fillId="27" borderId="24" xfId="205" applyFont="1" applyFill="1" applyBorder="1" applyAlignment="1"/>
    <xf numFmtId="0" fontId="23" fillId="27" borderId="12" xfId="0" applyFont="1" applyFill="1" applyBorder="1" applyAlignment="1">
      <alignment horizontal="center" vertical="center"/>
    </xf>
    <xf numFmtId="164" fontId="115" fillId="27" borderId="17" xfId="205" applyFont="1" applyFill="1" applyBorder="1" applyAlignment="1">
      <alignment horizontal="center"/>
    </xf>
    <xf numFmtId="164" fontId="115" fillId="27" borderId="22" xfId="205" applyFont="1" applyFill="1" applyBorder="1" applyAlignment="1">
      <alignment horizontal="center"/>
    </xf>
    <xf numFmtId="164" fontId="115" fillId="27" borderId="26" xfId="205" applyFont="1" applyFill="1" applyBorder="1" applyAlignment="1">
      <alignment horizontal="center"/>
    </xf>
    <xf numFmtId="164" fontId="23" fillId="27" borderId="30" xfId="205" applyFont="1" applyFill="1" applyBorder="1" applyAlignment="1"/>
    <xf numFmtId="0" fontId="23" fillId="0" borderId="0" xfId="0" applyFont="1" applyFill="1" applyAlignment="1">
      <alignment horizontal="center" vertical="center"/>
    </xf>
    <xf numFmtId="0" fontId="23" fillId="0" borderId="34" xfId="0" applyFont="1" applyFill="1" applyBorder="1" applyAlignment="1">
      <alignment vertical="center"/>
    </xf>
    <xf numFmtId="0" fontId="23" fillId="0" borderId="0" xfId="0" applyFont="1" applyFill="1" applyBorder="1" applyAlignment="1">
      <alignment horizontal="center" vertical="center" wrapText="1"/>
    </xf>
    <xf numFmtId="49" fontId="32" fillId="0" borderId="38" xfId="0" applyNumberFormat="1" applyFont="1" applyBorder="1" applyAlignment="1">
      <alignment horizontal="center" vertical="center" wrapText="1"/>
    </xf>
    <xf numFmtId="0" fontId="23" fillId="0" borderId="34" xfId="0" applyFont="1" applyFill="1" applyBorder="1" applyAlignment="1">
      <alignment vertical="center"/>
    </xf>
    <xf numFmtId="0" fontId="23" fillId="0" borderId="0" xfId="0" applyFont="1" applyFill="1" applyBorder="1" applyAlignment="1">
      <alignment horizontal="center" vertical="center" wrapText="1"/>
    </xf>
    <xf numFmtId="0" fontId="23" fillId="0" borderId="0" xfId="0" applyFont="1" applyFill="1" applyAlignment="1">
      <alignment horizontal="center" vertical="center"/>
    </xf>
    <xf numFmtId="164" fontId="21" fillId="0" borderId="49" xfId="205" applyNumberFormat="1" applyFont="1" applyFill="1" applyBorder="1" applyAlignment="1">
      <alignment horizontal="center"/>
    </xf>
    <xf numFmtId="2" fontId="23" fillId="0" borderId="45" xfId="0" applyNumberFormat="1" applyFont="1" applyFill="1" applyBorder="1" applyAlignment="1">
      <alignment vertical="center"/>
    </xf>
    <xf numFmtId="0" fontId="23" fillId="0" borderId="0" xfId="0" applyFont="1" applyFill="1" applyAlignment="1">
      <alignment horizontal="center" vertical="center"/>
    </xf>
    <xf numFmtId="0" fontId="23" fillId="0" borderId="34" xfId="0" applyFont="1" applyFill="1" applyBorder="1" applyAlignment="1">
      <alignment vertical="center"/>
    </xf>
    <xf numFmtId="0" fontId="23" fillId="0" borderId="0" xfId="0" applyFont="1" applyFill="1" applyBorder="1" applyAlignment="1">
      <alignment horizontal="center" vertical="center" wrapText="1"/>
    </xf>
    <xf numFmtId="0" fontId="23" fillId="27" borderId="36" xfId="0" applyFont="1" applyFill="1" applyBorder="1" applyAlignment="1">
      <alignment horizontal="center" vertical="center" wrapText="1"/>
    </xf>
    <xf numFmtId="0" fontId="23" fillId="0" borderId="0" xfId="0" applyFont="1" applyFill="1" applyAlignment="1">
      <alignment horizontal="center" vertical="center"/>
    </xf>
    <xf numFmtId="0" fontId="23" fillId="0" borderId="34" xfId="0" applyFont="1" applyFill="1" applyBorder="1" applyAlignment="1">
      <alignment vertical="center"/>
    </xf>
    <xf numFmtId="164" fontId="115" fillId="27" borderId="37" xfId="205" applyFont="1" applyFill="1" applyBorder="1" applyAlignment="1">
      <alignment horizontal="center" wrapText="1"/>
    </xf>
    <xf numFmtId="164" fontId="23" fillId="27" borderId="13" xfId="205" applyFont="1" applyFill="1" applyBorder="1" applyAlignment="1">
      <alignment horizontal="center" wrapText="1"/>
    </xf>
    <xf numFmtId="164" fontId="115" fillId="27" borderId="20" xfId="205" applyFont="1" applyFill="1" applyBorder="1" applyAlignment="1">
      <alignment horizontal="center" wrapText="1"/>
    </xf>
    <xf numFmtId="164" fontId="23" fillId="68" borderId="24" xfId="205" applyFont="1" applyFill="1" applyBorder="1" applyAlignment="1"/>
    <xf numFmtId="164" fontId="23" fillId="0" borderId="32" xfId="205" applyFont="1" applyFill="1" applyBorder="1" applyAlignment="1">
      <alignment horizontal="center" shrinkToFit="1"/>
    </xf>
    <xf numFmtId="0" fontId="25" fillId="0" borderId="0" xfId="0" applyFont="1" applyFill="1" applyBorder="1"/>
    <xf numFmtId="0" fontId="23" fillId="0" borderId="36" xfId="0" applyFont="1" applyFill="1" applyBorder="1" applyAlignment="1">
      <alignment horizontal="center" vertical="center" wrapText="1"/>
    </xf>
    <xf numFmtId="0" fontId="23" fillId="0" borderId="0" xfId="0" applyFont="1" applyFill="1" applyAlignment="1">
      <alignment horizontal="center" vertical="center"/>
    </xf>
    <xf numFmtId="0" fontId="23" fillId="0" borderId="34" xfId="0" applyFont="1" applyFill="1" applyBorder="1" applyAlignment="1">
      <alignment vertical="center"/>
    </xf>
    <xf numFmtId="0" fontId="23" fillId="69" borderId="36" xfId="0" applyFont="1" applyFill="1" applyBorder="1" applyAlignment="1">
      <alignment horizontal="center" vertical="center" wrapText="1"/>
    </xf>
    <xf numFmtId="49" fontId="32" fillId="0" borderId="38" xfId="0" applyNumberFormat="1" applyFont="1" applyBorder="1" applyAlignment="1">
      <alignment horizontal="center" vertical="center" wrapText="1"/>
    </xf>
    <xf numFmtId="0" fontId="23" fillId="0" borderId="38" xfId="0" applyFont="1" applyFill="1" applyBorder="1" applyAlignment="1">
      <alignment horizontal="center" vertical="center"/>
    </xf>
    <xf numFmtId="0" fontId="23" fillId="0" borderId="0" xfId="0" applyFont="1" applyFill="1" applyAlignment="1">
      <alignment horizontal="center" vertical="center"/>
    </xf>
    <xf numFmtId="0" fontId="32" fillId="72" borderId="38" xfId="0" applyNumberFormat="1" applyFont="1" applyFill="1" applyBorder="1" applyAlignment="1">
      <alignment vertical="center" wrapText="1"/>
    </xf>
    <xf numFmtId="164" fontId="29" fillId="72" borderId="38" xfId="205" applyFont="1" applyFill="1" applyBorder="1" applyAlignment="1">
      <alignment vertical="center"/>
    </xf>
    <xf numFmtId="164" fontId="31" fillId="72" borderId="38" xfId="205" applyFont="1" applyFill="1" applyBorder="1" applyAlignment="1">
      <alignment horizontal="center" vertical="center" wrapText="1"/>
    </xf>
    <xf numFmtId="164" fontId="31" fillId="72" borderId="38" xfId="205" applyFont="1" applyFill="1" applyBorder="1" applyAlignment="1">
      <alignment vertical="center"/>
    </xf>
    <xf numFmtId="164" fontId="62" fillId="69" borderId="38" xfId="205" applyFont="1" applyFill="1" applyBorder="1" applyAlignment="1">
      <alignment horizontal="center" vertical="center" wrapText="1"/>
    </xf>
    <xf numFmtId="3" fontId="23" fillId="72" borderId="47" xfId="0" applyNumberFormat="1" applyFont="1" applyFill="1" applyBorder="1" applyAlignment="1">
      <alignment horizontal="center" vertical="center" wrapText="1"/>
    </xf>
    <xf numFmtId="4" fontId="135" fillId="76" borderId="58" xfId="209" applyNumberFormat="1" applyProtection="1">
      <alignment horizontal="right" vertical="top" shrinkToFit="1"/>
    </xf>
    <xf numFmtId="4" fontId="131" fillId="0" borderId="88" xfId="101" applyNumberFormat="1" applyFont="1" applyBorder="1" applyAlignment="1" applyProtection="1">
      <alignment horizontal="right" vertical="top" shrinkToFit="1"/>
    </xf>
    <xf numFmtId="0" fontId="23" fillId="0" borderId="36" xfId="0" applyFont="1" applyFill="1" applyBorder="1" applyAlignment="1">
      <alignment horizontal="center" vertical="center" wrapText="1"/>
    </xf>
    <xf numFmtId="0" fontId="23" fillId="0" borderId="0" xfId="0" applyFont="1" applyFill="1" applyAlignment="1">
      <alignment horizontal="center" vertical="center"/>
    </xf>
    <xf numFmtId="0" fontId="23" fillId="0" borderId="34" xfId="0" applyFont="1" applyFill="1" applyBorder="1" applyAlignment="1">
      <alignment vertical="center"/>
    </xf>
    <xf numFmtId="0" fontId="24" fillId="0" borderId="38" xfId="0" applyFont="1" applyFill="1" applyBorder="1" applyAlignment="1">
      <alignment vertical="center"/>
    </xf>
    <xf numFmtId="164" fontId="115" fillId="0" borderId="38" xfId="0" applyNumberFormat="1" applyFont="1" applyFill="1" applyBorder="1" applyAlignment="1">
      <alignment horizontal="center" vertical="center"/>
    </xf>
    <xf numFmtId="0" fontId="23" fillId="0" borderId="34" xfId="0" applyFont="1" applyFill="1" applyBorder="1" applyAlignment="1">
      <alignment vertical="center"/>
    </xf>
    <xf numFmtId="49" fontId="32" fillId="0" borderId="38" xfId="0" applyNumberFormat="1" applyFont="1" applyBorder="1" applyAlignment="1">
      <alignment horizontal="center" vertical="center" wrapText="1"/>
    </xf>
    <xf numFmtId="0" fontId="17" fillId="25" borderId="14" xfId="0" applyFont="1" applyFill="1" applyBorder="1" applyAlignment="1">
      <alignment horizontal="center" vertical="center"/>
    </xf>
    <xf numFmtId="164" fontId="24" fillId="72" borderId="33" xfId="205" applyFont="1" applyFill="1" applyBorder="1" applyAlignment="1">
      <alignment horizontal="center" wrapText="1" shrinkToFit="1"/>
    </xf>
    <xf numFmtId="164" fontId="24" fillId="0" borderId="49" xfId="205" applyFont="1" applyFill="1" applyBorder="1" applyAlignment="1">
      <alignment horizontal="center" wrapText="1" shrinkToFit="1"/>
    </xf>
    <xf numFmtId="164" fontId="24" fillId="68" borderId="31" xfId="205" applyFont="1" applyFill="1" applyBorder="1" applyAlignment="1">
      <alignment horizontal="center" wrapText="1" shrinkToFit="1"/>
    </xf>
    <xf numFmtId="164" fontId="24" fillId="72" borderId="31" xfId="205" applyFont="1" applyFill="1" applyBorder="1" applyAlignment="1">
      <alignment horizontal="center" wrapText="1" shrinkToFit="1"/>
    </xf>
    <xf numFmtId="164" fontId="23" fillId="0" borderId="0" xfId="0" applyNumberFormat="1" applyFont="1" applyFill="1" applyBorder="1" applyAlignment="1">
      <alignment vertical="center"/>
    </xf>
    <xf numFmtId="0" fontId="17" fillId="0" borderId="30" xfId="0" applyFont="1" applyFill="1" applyBorder="1" applyAlignment="1">
      <alignment vertical="center" wrapText="1"/>
    </xf>
    <xf numFmtId="164" fontId="115" fillId="69" borderId="16" xfId="205" applyFont="1" applyFill="1" applyBorder="1" applyAlignment="1">
      <alignment horizontal="center"/>
    </xf>
    <xf numFmtId="49" fontId="32" fillId="0" borderId="38" xfId="0" applyNumberFormat="1" applyFont="1" applyBorder="1" applyAlignment="1">
      <alignment horizontal="center" vertical="center" wrapText="1"/>
    </xf>
    <xf numFmtId="49" fontId="32" fillId="75" borderId="38" xfId="0" applyNumberFormat="1" applyFont="1" applyFill="1" applyBorder="1" applyAlignment="1">
      <alignment horizontal="center" vertical="center" wrapText="1"/>
    </xf>
    <xf numFmtId="0" fontId="60" fillId="69" borderId="38" xfId="0" applyFont="1" applyFill="1" applyBorder="1" applyAlignment="1">
      <alignment horizontal="center" vertical="center" wrapText="1"/>
    </xf>
    <xf numFmtId="0" fontId="23" fillId="0" borderId="34" xfId="0" applyFont="1" applyFill="1" applyBorder="1" applyAlignment="1">
      <alignment vertical="center"/>
    </xf>
    <xf numFmtId="0" fontId="23" fillId="0" borderId="11"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5" fillId="0" borderId="36" xfId="0" applyFont="1" applyFill="1" applyBorder="1" applyAlignment="1">
      <alignment vertical="center"/>
    </xf>
    <xf numFmtId="0" fontId="5" fillId="0" borderId="34" xfId="0" applyFont="1" applyFill="1" applyBorder="1" applyAlignment="1">
      <alignment vertical="center"/>
    </xf>
    <xf numFmtId="0" fontId="5" fillId="0" borderId="47" xfId="0" applyFont="1" applyFill="1" applyBorder="1" applyAlignment="1">
      <alignment vertical="center"/>
    </xf>
    <xf numFmtId="164" fontId="115" fillId="72" borderId="83" xfId="205" applyFont="1" applyFill="1" applyBorder="1" applyAlignment="1">
      <alignment horizontal="center"/>
    </xf>
    <xf numFmtId="164" fontId="21" fillId="0" borderId="83" xfId="205" applyNumberFormat="1" applyFont="1" applyFill="1" applyBorder="1" applyAlignment="1">
      <alignment horizontal="center"/>
    </xf>
    <xf numFmtId="164" fontId="115" fillId="25" borderId="17" xfId="205" applyFont="1" applyFill="1" applyBorder="1" applyAlignment="1">
      <alignment horizontal="center"/>
    </xf>
    <xf numFmtId="164" fontId="115" fillId="25" borderId="22" xfId="205" applyFont="1" applyFill="1" applyBorder="1" applyAlignment="1">
      <alignment horizontal="center"/>
    </xf>
    <xf numFmtId="164" fontId="115" fillId="25" borderId="26" xfId="205" applyFont="1" applyFill="1" applyBorder="1" applyAlignment="1">
      <alignment horizontal="center"/>
    </xf>
    <xf numFmtId="0" fontId="23" fillId="0" borderId="11" xfId="0" applyFont="1" applyFill="1" applyBorder="1" applyAlignment="1">
      <alignment horizontal="center" vertical="center" wrapText="1"/>
    </xf>
    <xf numFmtId="0" fontId="22" fillId="0" borderId="45" xfId="0" applyFont="1" applyFill="1" applyBorder="1" applyAlignment="1">
      <alignment horizontal="center" vertical="center"/>
    </xf>
    <xf numFmtId="4" fontId="131" fillId="0" borderId="81" xfId="101" applyNumberFormat="1" applyFont="1" applyBorder="1" applyAlignment="1" applyProtection="1">
      <alignment horizontal="right" vertical="top" shrinkToFit="1"/>
    </xf>
    <xf numFmtId="4" fontId="120" fillId="0" borderId="81" xfId="101" applyNumberFormat="1" applyFont="1" applyBorder="1" applyAlignment="1" applyProtection="1">
      <alignment horizontal="right" vertical="top" shrinkToFit="1"/>
    </xf>
    <xf numFmtId="164" fontId="24" fillId="69" borderId="17" xfId="205" applyFont="1" applyFill="1" applyBorder="1" applyAlignment="1">
      <alignment horizontal="center"/>
    </xf>
    <xf numFmtId="0" fontId="23" fillId="0" borderId="15" xfId="0" applyFont="1" applyFill="1" applyBorder="1" applyAlignment="1">
      <alignment horizontal="center" vertical="center" wrapText="1"/>
    </xf>
    <xf numFmtId="0" fontId="23" fillId="0" borderId="34" xfId="0" applyFont="1" applyFill="1" applyBorder="1" applyAlignment="1">
      <alignment vertical="center"/>
    </xf>
    <xf numFmtId="164" fontId="115" fillId="72" borderId="18" xfId="205" applyFont="1" applyFill="1" applyBorder="1" applyAlignment="1">
      <alignment horizontal="center"/>
    </xf>
    <xf numFmtId="164" fontId="115" fillId="72" borderId="20" xfId="205" applyFont="1" applyFill="1" applyBorder="1" applyAlignment="1">
      <alignment horizontal="center"/>
    </xf>
    <xf numFmtId="164" fontId="115" fillId="72" borderId="27" xfId="205" applyFont="1" applyFill="1" applyBorder="1" applyAlignment="1">
      <alignment horizontal="center"/>
    </xf>
    <xf numFmtId="164" fontId="17" fillId="0" borderId="44" xfId="205" applyNumberFormat="1" applyFont="1" applyFill="1" applyBorder="1" applyAlignment="1"/>
    <xf numFmtId="0" fontId="23" fillId="0" borderId="0" xfId="0" applyFont="1" applyFill="1" applyAlignment="1">
      <alignment horizontal="center" vertical="center"/>
    </xf>
    <xf numFmtId="0" fontId="23" fillId="0" borderId="34" xfId="0" applyFont="1" applyFill="1" applyBorder="1" applyAlignment="1">
      <alignment vertical="center"/>
    </xf>
    <xf numFmtId="0" fontId="23" fillId="0" borderId="38" xfId="0" applyFont="1" applyFill="1" applyBorder="1" applyAlignment="1">
      <alignment horizontal="center" vertical="center"/>
    </xf>
    <xf numFmtId="164" fontId="114" fillId="0" borderId="0" xfId="205" applyFont="1" applyFill="1" applyBorder="1" applyAlignment="1"/>
    <xf numFmtId="4" fontId="114" fillId="0" borderId="0" xfId="192" applyNumberFormat="1" applyFont="1" applyFill="1" applyBorder="1" applyAlignment="1">
      <alignment horizontal="right" shrinkToFit="1"/>
    </xf>
    <xf numFmtId="0" fontId="117" fillId="0" borderId="0" xfId="0" applyFont="1"/>
    <xf numFmtId="164" fontId="21" fillId="0" borderId="51" xfId="205" applyNumberFormat="1" applyFont="1" applyFill="1" applyBorder="1" applyAlignment="1">
      <alignment horizontal="center"/>
    </xf>
    <xf numFmtId="4" fontId="116" fillId="75" borderId="38" xfId="188" applyNumberFormat="1" applyFont="1" applyFill="1" applyBorder="1" applyAlignment="1">
      <alignment horizontal="center" vertical="center"/>
    </xf>
    <xf numFmtId="164" fontId="29" fillId="75" borderId="38" xfId="205" applyNumberFormat="1" applyFont="1" applyFill="1" applyBorder="1" applyAlignment="1">
      <alignment horizontal="center" vertical="center" wrapText="1"/>
    </xf>
    <xf numFmtId="164" fontId="29" fillId="0" borderId="0" xfId="205" applyFont="1" applyFill="1" applyBorder="1" applyAlignment="1">
      <alignment horizontal="center" vertical="center"/>
    </xf>
    <xf numFmtId="0" fontId="7" fillId="0" borderId="0" xfId="0" applyFont="1" applyFill="1" applyAlignment="1">
      <alignment vertical="center"/>
    </xf>
    <xf numFmtId="0" fontId="23" fillId="0" borderId="47" xfId="0" applyFont="1" applyFill="1" applyBorder="1" applyAlignment="1">
      <alignment vertical="center"/>
    </xf>
    <xf numFmtId="0" fontId="23" fillId="0" borderId="0" xfId="0" applyFont="1" applyFill="1" applyAlignment="1">
      <alignment horizontal="center" vertical="center"/>
    </xf>
    <xf numFmtId="0" fontId="23" fillId="0" borderId="34" xfId="0" applyFont="1" applyFill="1" applyBorder="1" applyAlignment="1">
      <alignment vertical="center"/>
    </xf>
    <xf numFmtId="0" fontId="23" fillId="0" borderId="0" xfId="0" applyFont="1" applyFill="1" applyBorder="1" applyAlignment="1">
      <alignment horizontal="center" vertical="center" wrapText="1"/>
    </xf>
    <xf numFmtId="49" fontId="32" fillId="0" borderId="38" xfId="0" applyNumberFormat="1" applyFont="1" applyBorder="1" applyAlignment="1">
      <alignment horizontal="center" vertical="center" wrapText="1"/>
    </xf>
    <xf numFmtId="0" fontId="23" fillId="0" borderId="34" xfId="0" applyFont="1" applyFill="1" applyBorder="1" applyAlignment="1">
      <alignment vertical="center"/>
    </xf>
    <xf numFmtId="49" fontId="32" fillId="0" borderId="38" xfId="0" applyNumberFormat="1" applyFont="1" applyBorder="1" applyAlignment="1">
      <alignment horizontal="center" vertical="center" wrapText="1"/>
    </xf>
    <xf numFmtId="0" fontId="32" fillId="72" borderId="38" xfId="0" quotePrefix="1" applyFont="1" applyFill="1" applyBorder="1" applyAlignment="1">
      <alignment horizontal="center" vertical="center" wrapText="1"/>
    </xf>
    <xf numFmtId="0" fontId="29" fillId="72" borderId="38" xfId="0" applyFont="1" applyFill="1" applyBorder="1" applyAlignment="1">
      <alignment horizontal="center" vertical="center" wrapText="1"/>
    </xf>
    <xf numFmtId="4" fontId="29" fillId="72" borderId="38" xfId="0" applyNumberFormat="1" applyFont="1" applyFill="1" applyBorder="1" applyAlignment="1">
      <alignment horizontal="center" vertical="center" wrapText="1"/>
    </xf>
    <xf numFmtId="4" fontId="31" fillId="72" borderId="38" xfId="0" applyNumberFormat="1" applyFont="1" applyFill="1" applyBorder="1" applyAlignment="1">
      <alignment horizontal="center" vertical="center" wrapText="1"/>
    </xf>
    <xf numFmtId="164" fontId="31" fillId="72" borderId="38" xfId="205" applyNumberFormat="1" applyFont="1" applyFill="1" applyBorder="1" applyAlignment="1">
      <alignment vertical="center"/>
    </xf>
    <xf numFmtId="0" fontId="141" fillId="72" borderId="38" xfId="0" applyNumberFormat="1" applyFont="1" applyFill="1" applyBorder="1" applyAlignment="1">
      <alignment horizontal="center" vertical="center" wrapText="1"/>
    </xf>
    <xf numFmtId="164" fontId="23" fillId="68" borderId="18" xfId="205" applyFont="1" applyFill="1" applyBorder="1" applyAlignment="1">
      <alignment horizontal="center" wrapText="1" shrinkToFit="1"/>
    </xf>
    <xf numFmtId="164" fontId="23" fillId="68" borderId="20" xfId="205" applyFont="1" applyFill="1" applyBorder="1" applyAlignment="1">
      <alignment horizontal="center" wrapText="1" shrinkToFit="1"/>
    </xf>
    <xf numFmtId="164" fontId="23" fillId="68" borderId="27" xfId="205" applyFont="1" applyFill="1" applyBorder="1" applyAlignment="1">
      <alignment horizontal="center" wrapText="1" shrinkToFit="1"/>
    </xf>
    <xf numFmtId="3" fontId="23" fillId="0" borderId="11" xfId="0" applyNumberFormat="1" applyFont="1" applyFill="1" applyBorder="1" applyAlignment="1">
      <alignment horizontal="center" vertical="center"/>
    </xf>
    <xf numFmtId="3" fontId="23" fillId="69" borderId="11" xfId="0" applyNumberFormat="1" applyFont="1" applyFill="1" applyBorder="1" applyAlignment="1">
      <alignment horizontal="center" vertical="center"/>
    </xf>
    <xf numFmtId="164" fontId="23" fillId="69" borderId="21" xfId="205" applyFont="1" applyFill="1" applyBorder="1" applyAlignment="1">
      <alignment horizontal="center" wrapText="1" shrinkToFit="1"/>
    </xf>
    <xf numFmtId="164" fontId="23" fillId="72" borderId="22" xfId="205" applyFont="1" applyFill="1" applyBorder="1" applyAlignment="1">
      <alignment horizontal="center" wrapText="1" shrinkToFit="1"/>
    </xf>
    <xf numFmtId="164" fontId="115" fillId="0" borderId="16" xfId="205" applyFont="1" applyFill="1" applyBorder="1" applyAlignment="1">
      <alignment horizontal="center" wrapText="1" shrinkToFit="1"/>
    </xf>
    <xf numFmtId="164" fontId="115" fillId="72" borderId="17" xfId="205" applyFont="1" applyFill="1" applyBorder="1" applyAlignment="1">
      <alignment horizontal="center" wrapText="1" shrinkToFit="1"/>
    </xf>
    <xf numFmtId="164" fontId="115" fillId="0" borderId="18" xfId="205" applyFont="1" applyFill="1" applyBorder="1" applyAlignment="1">
      <alignment horizontal="center" wrapText="1" shrinkToFit="1"/>
    </xf>
    <xf numFmtId="164" fontId="115" fillId="69" borderId="18" xfId="205" applyFont="1" applyFill="1" applyBorder="1" applyAlignment="1">
      <alignment horizontal="center" wrapText="1" shrinkToFit="1"/>
    </xf>
    <xf numFmtId="164" fontId="115" fillId="0" borderId="21" xfId="205" applyFont="1" applyFill="1" applyBorder="1" applyAlignment="1">
      <alignment horizontal="center" wrapText="1" shrinkToFit="1"/>
    </xf>
    <xf numFmtId="164" fontId="115" fillId="72" borderId="22" xfId="205" applyFont="1" applyFill="1" applyBorder="1" applyAlignment="1">
      <alignment horizontal="center" wrapText="1" shrinkToFit="1"/>
    </xf>
    <xf numFmtId="164" fontId="115" fillId="0" borderId="20" xfId="205" applyFont="1" applyFill="1" applyBorder="1" applyAlignment="1">
      <alignment horizontal="center" wrapText="1" shrinkToFit="1"/>
    </xf>
    <xf numFmtId="164" fontId="115" fillId="69" borderId="20" xfId="205" applyFont="1" applyFill="1" applyBorder="1" applyAlignment="1">
      <alignment horizontal="center" wrapText="1" shrinkToFit="1"/>
    </xf>
    <xf numFmtId="164" fontId="115" fillId="69" borderId="27" xfId="205" applyFont="1" applyFill="1" applyBorder="1" applyAlignment="1">
      <alignment horizontal="center" wrapText="1" shrinkToFit="1"/>
    </xf>
    <xf numFmtId="164" fontId="115" fillId="0" borderId="50" xfId="205" applyFont="1" applyFill="1" applyBorder="1" applyAlignment="1">
      <alignment horizontal="center" wrapText="1" shrinkToFit="1"/>
    </xf>
    <xf numFmtId="164" fontId="115" fillId="72" borderId="35" xfId="205" applyFont="1" applyFill="1" applyBorder="1" applyAlignment="1">
      <alignment horizontal="center" wrapText="1" shrinkToFit="1"/>
    </xf>
    <xf numFmtId="164" fontId="115" fillId="0" borderId="51" xfId="205" applyFont="1" applyFill="1" applyBorder="1" applyAlignment="1">
      <alignment horizontal="center" wrapText="1" shrinkToFit="1"/>
    </xf>
    <xf numFmtId="164" fontId="23" fillId="72" borderId="14" xfId="205" applyFont="1" applyFill="1" applyBorder="1" applyAlignment="1"/>
    <xf numFmtId="164" fontId="115" fillId="0" borderId="25" xfId="205" applyFont="1" applyFill="1" applyBorder="1" applyAlignment="1">
      <alignment horizontal="center" wrapText="1" shrinkToFit="1"/>
    </xf>
    <xf numFmtId="164" fontId="115" fillId="69" borderId="16" xfId="205" applyFont="1" applyFill="1" applyBorder="1" applyAlignment="1">
      <alignment horizontal="center" wrapText="1" shrinkToFit="1"/>
    </xf>
    <xf numFmtId="164" fontId="115" fillId="69" borderId="21" xfId="205" applyFont="1" applyFill="1" applyBorder="1" applyAlignment="1">
      <alignment horizontal="center" wrapText="1" shrinkToFit="1"/>
    </xf>
    <xf numFmtId="164" fontId="115" fillId="69" borderId="25" xfId="205" applyFont="1" applyFill="1" applyBorder="1" applyAlignment="1">
      <alignment horizontal="center" wrapText="1" shrinkToFit="1"/>
    </xf>
    <xf numFmtId="164" fontId="115" fillId="69" borderId="50" xfId="205" applyFont="1" applyFill="1" applyBorder="1" applyAlignment="1">
      <alignment horizontal="center" wrapText="1" shrinkToFit="1"/>
    </xf>
    <xf numFmtId="164" fontId="115" fillId="69" borderId="51" xfId="205" applyFont="1" applyFill="1" applyBorder="1" applyAlignment="1">
      <alignment horizontal="center" wrapText="1" shrinkToFit="1"/>
    </xf>
    <xf numFmtId="3" fontId="23" fillId="72" borderId="14" xfId="0" applyNumberFormat="1" applyFont="1" applyFill="1" applyBorder="1" applyAlignment="1">
      <alignment horizontal="center" vertical="center"/>
    </xf>
    <xf numFmtId="164" fontId="115" fillId="0" borderId="17" xfId="205" applyFont="1" applyFill="1" applyBorder="1" applyAlignment="1">
      <alignment horizontal="center"/>
    </xf>
    <xf numFmtId="164" fontId="115" fillId="0" borderId="22" xfId="205" applyFont="1" applyFill="1" applyBorder="1" applyAlignment="1">
      <alignment horizontal="center"/>
    </xf>
    <xf numFmtId="164" fontId="115" fillId="0" borderId="26" xfId="205" applyFont="1" applyFill="1" applyBorder="1" applyAlignment="1">
      <alignment horizontal="center"/>
    </xf>
    <xf numFmtId="3" fontId="23" fillId="69" borderId="15" xfId="0" applyNumberFormat="1" applyFont="1" applyFill="1" applyBorder="1" applyAlignment="1">
      <alignment horizontal="center" vertical="center"/>
    </xf>
    <xf numFmtId="3" fontId="23" fillId="69" borderId="43" xfId="0" applyNumberFormat="1" applyFont="1" applyFill="1" applyBorder="1" applyAlignment="1">
      <alignment horizontal="center" vertical="center"/>
    </xf>
    <xf numFmtId="164" fontId="115" fillId="69" borderId="17" xfId="205" applyFont="1" applyFill="1" applyBorder="1" applyAlignment="1">
      <alignment horizontal="center" wrapText="1" shrinkToFit="1"/>
    </xf>
    <xf numFmtId="164" fontId="115" fillId="69" borderId="22" xfId="205" applyFont="1" applyFill="1" applyBorder="1" applyAlignment="1">
      <alignment horizontal="center" wrapText="1" shrinkToFit="1"/>
    </xf>
    <xf numFmtId="164" fontId="115" fillId="69" borderId="26" xfId="205" applyFont="1" applyFill="1" applyBorder="1" applyAlignment="1">
      <alignment horizontal="center" wrapText="1" shrinkToFit="1"/>
    </xf>
    <xf numFmtId="164" fontId="30" fillId="27" borderId="38" xfId="205" applyFont="1" applyFill="1" applyBorder="1" applyAlignment="1">
      <alignment horizontal="center"/>
    </xf>
    <xf numFmtId="164" fontId="30" fillId="69" borderId="38" xfId="205" applyFont="1" applyFill="1" applyBorder="1" applyAlignment="1">
      <alignment horizontal="center" wrapText="1" shrinkToFit="1"/>
    </xf>
    <xf numFmtId="164" fontId="114" fillId="27" borderId="38" xfId="205" applyFont="1" applyFill="1" applyBorder="1" applyAlignment="1">
      <alignment horizontal="center"/>
    </xf>
    <xf numFmtId="164" fontId="114" fillId="0" borderId="38" xfId="205" applyFont="1" applyFill="1" applyBorder="1" applyAlignment="1">
      <alignment horizontal="center" shrinkToFit="1"/>
    </xf>
    <xf numFmtId="164" fontId="20" fillId="27" borderId="40" xfId="205" applyFont="1" applyFill="1" applyBorder="1" applyAlignment="1">
      <alignment horizontal="center"/>
    </xf>
    <xf numFmtId="164" fontId="114" fillId="0" borderId="0" xfId="205" applyFont="1" applyFill="1" applyBorder="1" applyAlignment="1">
      <alignment horizontal="center"/>
    </xf>
    <xf numFmtId="164" fontId="30" fillId="0" borderId="38" xfId="205" applyFont="1" applyBorder="1" applyAlignment="1">
      <alignment horizontal="center" wrapText="1" shrinkToFit="1"/>
    </xf>
    <xf numFmtId="164" fontId="66" fillId="0" borderId="0" xfId="205" applyFont="1" applyFill="1" applyAlignment="1">
      <alignment horizontal="center"/>
    </xf>
    <xf numFmtId="164" fontId="66" fillId="0" borderId="0" xfId="205" applyFont="1" applyAlignment="1">
      <alignment horizontal="center"/>
    </xf>
    <xf numFmtId="164" fontId="30" fillId="0" borderId="38" xfId="205" applyFont="1" applyBorder="1" applyAlignment="1">
      <alignment horizontal="center"/>
    </xf>
    <xf numFmtId="164" fontId="20" fillId="0" borderId="38" xfId="205" applyFont="1" applyBorder="1" applyAlignment="1">
      <alignment horizontal="center"/>
    </xf>
    <xf numFmtId="164" fontId="20" fillId="0" borderId="38" xfId="205" applyFont="1" applyFill="1" applyBorder="1" applyAlignment="1">
      <alignment horizontal="center"/>
    </xf>
    <xf numFmtId="164" fontId="20" fillId="27" borderId="38" xfId="205" applyFont="1" applyFill="1" applyBorder="1" applyAlignment="1">
      <alignment horizontal="center"/>
    </xf>
    <xf numFmtId="0" fontId="23" fillId="0" borderId="34" xfId="0" applyFont="1" applyFill="1" applyBorder="1" applyAlignment="1">
      <alignment vertical="center"/>
    </xf>
    <xf numFmtId="0" fontId="23" fillId="0" borderId="0" xfId="0" applyFont="1" applyFill="1" applyAlignment="1">
      <alignment horizontal="center" vertical="center"/>
    </xf>
    <xf numFmtId="49" fontId="32" fillId="0" borderId="38" xfId="0" applyNumberFormat="1" applyFont="1" applyBorder="1" applyAlignment="1">
      <alignment horizontal="center" vertical="center" wrapText="1"/>
    </xf>
    <xf numFmtId="0" fontId="3" fillId="0" borderId="38" xfId="0" applyFont="1" applyFill="1" applyBorder="1" applyAlignment="1">
      <alignment vertical="center" wrapText="1"/>
    </xf>
    <xf numFmtId="164" fontId="115" fillId="68" borderId="37" xfId="205" applyFont="1" applyFill="1" applyBorder="1" applyAlignment="1">
      <alignment horizontal="center"/>
    </xf>
    <xf numFmtId="164" fontId="115" fillId="72" borderId="37" xfId="205" applyFont="1" applyFill="1" applyBorder="1" applyAlignment="1">
      <alignment horizontal="center"/>
    </xf>
    <xf numFmtId="0" fontId="23" fillId="72" borderId="15" xfId="0" applyFont="1" applyFill="1" applyBorder="1" applyAlignment="1">
      <alignment horizontal="center" vertical="center" wrapText="1"/>
    </xf>
    <xf numFmtId="164" fontId="23" fillId="25" borderId="22" xfId="205" applyFont="1" applyFill="1" applyBorder="1" applyAlignment="1">
      <alignment horizontal="center"/>
    </xf>
    <xf numFmtId="164" fontId="23" fillId="68" borderId="35" xfId="205" applyFont="1" applyFill="1" applyBorder="1" applyAlignment="1">
      <alignment horizontal="center"/>
    </xf>
    <xf numFmtId="164" fontId="6" fillId="0" borderId="38" xfId="0" applyNumberFormat="1" applyFont="1" applyFill="1" applyBorder="1" applyAlignment="1">
      <alignment vertical="center" wrapText="1"/>
    </xf>
    <xf numFmtId="0" fontId="5" fillId="0" borderId="38" xfId="0" applyFont="1" applyFill="1" applyBorder="1" applyAlignment="1">
      <alignment horizontal="center" wrapText="1"/>
    </xf>
    <xf numFmtId="164" fontId="142" fillId="0" borderId="38" xfId="0" applyNumberFormat="1" applyFont="1" applyFill="1" applyBorder="1"/>
    <xf numFmtId="164" fontId="142" fillId="0" borderId="38" xfId="205" applyNumberFormat="1" applyFont="1" applyFill="1" applyBorder="1" applyAlignment="1">
      <alignment horizontal="center" vertical="center"/>
    </xf>
    <xf numFmtId="164" fontId="4" fillId="0" borderId="38" xfId="205" applyNumberFormat="1" applyFont="1" applyFill="1" applyBorder="1" applyAlignment="1">
      <alignment horizontal="center" vertical="center"/>
    </xf>
    <xf numFmtId="0" fontId="7" fillId="0" borderId="22" xfId="0" applyFont="1" applyFill="1" applyBorder="1" applyAlignment="1">
      <alignment horizontal="left" wrapText="1"/>
    </xf>
    <xf numFmtId="4" fontId="143" fillId="50" borderId="59" xfId="42" applyNumberFormat="1" applyFont="1" applyProtection="1">
      <alignment horizontal="right" vertical="top" wrapText="1" shrinkToFit="1"/>
    </xf>
    <xf numFmtId="164" fontId="3" fillId="0" borderId="0" xfId="0" applyNumberFormat="1" applyFont="1" applyAlignment="1">
      <alignment vertical="center"/>
    </xf>
    <xf numFmtId="4" fontId="74" fillId="49" borderId="57" xfId="210" applyNumberFormat="1" applyFont="1" applyProtection="1">
      <alignment horizontal="right" shrinkToFit="1"/>
    </xf>
    <xf numFmtId="4" fontId="131" fillId="0" borderId="59" xfId="104" applyNumberFormat="1" applyFont="1" applyBorder="1" applyAlignment="1" applyProtection="1">
      <alignment horizontal="right" vertical="top" shrinkToFit="1"/>
    </xf>
    <xf numFmtId="0" fontId="23" fillId="0" borderId="36" xfId="0" applyFont="1" applyFill="1" applyBorder="1" applyAlignment="1">
      <alignment horizontal="center" vertical="center" wrapText="1"/>
    </xf>
    <xf numFmtId="0" fontId="23" fillId="69" borderId="36" xfId="0" applyFont="1" applyFill="1" applyBorder="1" applyAlignment="1">
      <alignment horizontal="center" vertical="center" wrapText="1"/>
    </xf>
    <xf numFmtId="0" fontId="23" fillId="0" borderId="34" xfId="0" applyFont="1" applyFill="1" applyBorder="1" applyAlignment="1">
      <alignment vertical="center"/>
    </xf>
    <xf numFmtId="0" fontId="23" fillId="0" borderId="0" xfId="0" applyFont="1" applyFill="1" applyAlignment="1">
      <alignment horizontal="center" vertical="center"/>
    </xf>
    <xf numFmtId="49" fontId="32" fillId="0" borderId="38" xfId="0" applyNumberFormat="1" applyFont="1" applyBorder="1" applyAlignment="1">
      <alignment horizontal="center" vertical="center" wrapText="1"/>
    </xf>
    <xf numFmtId="0" fontId="29" fillId="0" borderId="0" xfId="0" applyFont="1" applyAlignment="1">
      <alignment horizontal="center" vertical="center"/>
    </xf>
    <xf numFmtId="0" fontId="18" fillId="0" borderId="31" xfId="0" applyFont="1" applyFill="1" applyBorder="1" applyAlignment="1">
      <alignment horizontal="center" vertical="center" wrapText="1"/>
    </xf>
    <xf numFmtId="0" fontId="18" fillId="0" borderId="15" xfId="0" applyFont="1" applyFill="1" applyBorder="1" applyAlignment="1">
      <alignment horizontal="center" vertical="center" wrapText="1"/>
    </xf>
    <xf numFmtId="164" fontId="114" fillId="27" borderId="38" xfId="205" applyFont="1" applyFill="1" applyBorder="1" applyAlignment="1"/>
    <xf numFmtId="0" fontId="7" fillId="0" borderId="41" xfId="0" applyFont="1" applyFill="1" applyBorder="1" applyAlignment="1">
      <alignment horizontal="center" vertical="center" wrapText="1"/>
    </xf>
    <xf numFmtId="164" fontId="116" fillId="0" borderId="38" xfId="0" applyNumberFormat="1" applyFont="1" applyBorder="1" applyAlignment="1">
      <alignment vertical="center"/>
    </xf>
    <xf numFmtId="0" fontId="32" fillId="68" borderId="38" xfId="0" applyNumberFormat="1" applyFont="1" applyFill="1" applyBorder="1" applyAlignment="1">
      <alignment horizontal="center" vertical="center" wrapText="1"/>
    </xf>
    <xf numFmtId="0" fontId="7" fillId="68" borderId="41" xfId="0" applyFont="1" applyFill="1" applyBorder="1" applyAlignment="1">
      <alignment horizontal="center" vertical="center" wrapText="1"/>
    </xf>
    <xf numFmtId="164" fontId="116" fillId="68" borderId="38" xfId="0" applyNumberFormat="1" applyFont="1" applyFill="1" applyBorder="1" applyAlignment="1">
      <alignment vertical="center"/>
    </xf>
    <xf numFmtId="164" fontId="116" fillId="0" borderId="0" xfId="0" applyNumberFormat="1" applyFont="1" applyAlignment="1">
      <alignment vertical="center"/>
    </xf>
    <xf numFmtId="164" fontId="117" fillId="0" borderId="0" xfId="0" applyNumberFormat="1" applyFont="1" applyAlignment="1">
      <alignment horizontal="center" vertical="center"/>
    </xf>
    <xf numFmtId="0" fontId="29" fillId="0" borderId="0" xfId="0" applyFont="1" applyFill="1" applyAlignment="1">
      <alignment horizontal="center" vertical="center"/>
    </xf>
    <xf numFmtId="164" fontId="29" fillId="0" borderId="0" xfId="0" applyNumberFormat="1" applyFont="1" applyAlignment="1">
      <alignment horizontal="center" vertical="center"/>
    </xf>
    <xf numFmtId="164" fontId="117" fillId="0" borderId="0" xfId="0" applyNumberFormat="1" applyFont="1" applyFill="1" applyAlignment="1">
      <alignment horizontal="center" vertical="center"/>
    </xf>
    <xf numFmtId="164" fontId="29" fillId="0" borderId="0" xfId="205" applyFont="1" applyFill="1" applyAlignment="1">
      <alignment horizontal="center" vertical="center"/>
    </xf>
    <xf numFmtId="164" fontId="29" fillId="0" borderId="0" xfId="0" applyNumberFormat="1" applyFont="1" applyFill="1" applyAlignment="1">
      <alignment horizontal="center" vertical="center"/>
    </xf>
    <xf numFmtId="164" fontId="133" fillId="0" borderId="0" xfId="0" applyNumberFormat="1" applyFont="1" applyFill="1"/>
    <xf numFmtId="164" fontId="5" fillId="0" borderId="0" xfId="205" applyFont="1" applyFill="1"/>
    <xf numFmtId="164" fontId="5" fillId="0" borderId="0" xfId="205" applyFont="1" applyFill="1" applyAlignment="1">
      <alignment vertical="center" wrapText="1"/>
    </xf>
    <xf numFmtId="0" fontId="18" fillId="0" borderId="29" xfId="0" applyFont="1" applyFill="1" applyBorder="1" applyAlignment="1">
      <alignment vertical="center" wrapText="1"/>
    </xf>
    <xf numFmtId="0" fontId="18" fillId="72" borderId="15" xfId="0" applyFont="1" applyFill="1" applyBorder="1" applyAlignment="1">
      <alignment horizontal="center"/>
    </xf>
    <xf numFmtId="0" fontId="18" fillId="72" borderId="11" xfId="0" applyFont="1" applyFill="1" applyBorder="1" applyAlignment="1">
      <alignment horizontal="center"/>
    </xf>
    <xf numFmtId="0" fontId="18" fillId="72" borderId="12" xfId="0" applyFont="1" applyFill="1" applyBorder="1" applyAlignment="1">
      <alignment horizontal="center"/>
    </xf>
    <xf numFmtId="0" fontId="18" fillId="72" borderId="14" xfId="0" applyFont="1" applyFill="1" applyBorder="1" applyAlignment="1">
      <alignment horizontal="center"/>
    </xf>
    <xf numFmtId="0" fontId="18" fillId="72" borderId="36" xfId="0" applyFont="1" applyFill="1" applyBorder="1" applyAlignment="1">
      <alignment horizontal="center"/>
    </xf>
    <xf numFmtId="0" fontId="18" fillId="0" borderId="36" xfId="0" applyFont="1" applyFill="1" applyBorder="1" applyAlignment="1">
      <alignment horizontal="center"/>
    </xf>
    <xf numFmtId="0" fontId="18" fillId="72" borderId="43" xfId="0" applyFont="1" applyFill="1" applyBorder="1" applyAlignment="1">
      <alignment horizontal="center"/>
    </xf>
    <xf numFmtId="164" fontId="146" fillId="0" borderId="13" xfId="0" applyNumberFormat="1" applyFont="1" applyFill="1" applyBorder="1"/>
    <xf numFmtId="164" fontId="21" fillId="72" borderId="33" xfId="205" applyNumberFormat="1" applyFont="1" applyFill="1" applyBorder="1" applyAlignment="1">
      <alignment horizontal="center"/>
    </xf>
    <xf numFmtId="164" fontId="21" fillId="72" borderId="20" xfId="205" applyNumberFormat="1" applyFont="1" applyFill="1" applyBorder="1" applyAlignment="1">
      <alignment horizontal="center"/>
    </xf>
    <xf numFmtId="164" fontId="21" fillId="72" borderId="21" xfId="205" applyNumberFormat="1" applyFont="1" applyFill="1" applyBorder="1" applyAlignment="1">
      <alignment horizontal="center"/>
    </xf>
    <xf numFmtId="164" fontId="21" fillId="72" borderId="23" xfId="205" applyNumberFormat="1" applyFont="1" applyFill="1" applyBorder="1" applyAlignment="1">
      <alignment horizontal="center"/>
    </xf>
    <xf numFmtId="164" fontId="21" fillId="72" borderId="22" xfId="205" applyNumberFormat="1" applyFont="1" applyFill="1" applyBorder="1" applyAlignment="1">
      <alignment horizontal="center"/>
    </xf>
    <xf numFmtId="164" fontId="21" fillId="72" borderId="25" xfId="205" applyNumberFormat="1" applyFont="1" applyFill="1" applyBorder="1" applyAlignment="1">
      <alignment horizontal="center"/>
    </xf>
    <xf numFmtId="164" fontId="21" fillId="72" borderId="26" xfId="205" applyNumberFormat="1" applyFont="1" applyFill="1" applyBorder="1" applyAlignment="1">
      <alignment horizontal="center"/>
    </xf>
    <xf numFmtId="164" fontId="17" fillId="72" borderId="14" xfId="205" applyNumberFormat="1" applyFont="1" applyFill="1" applyBorder="1" applyAlignment="1"/>
    <xf numFmtId="164" fontId="17" fillId="72" borderId="24" xfId="205" applyNumberFormat="1" applyFont="1" applyFill="1" applyBorder="1" applyAlignment="1"/>
    <xf numFmtId="164" fontId="17" fillId="72" borderId="29" xfId="205" applyNumberFormat="1" applyFont="1" applyFill="1" applyBorder="1" applyAlignment="1"/>
    <xf numFmtId="164" fontId="17" fillId="72" borderId="30" xfId="205" applyNumberFormat="1" applyFont="1" applyFill="1" applyBorder="1" applyAlignment="1"/>
    <xf numFmtId="164" fontId="17" fillId="72" borderId="44" xfId="205" applyNumberFormat="1" applyFont="1" applyFill="1" applyBorder="1" applyAlignment="1"/>
    <xf numFmtId="165" fontId="17" fillId="72" borderId="31" xfId="205" applyNumberFormat="1" applyFont="1" applyFill="1" applyBorder="1" applyAlignment="1"/>
    <xf numFmtId="164" fontId="17" fillId="72" borderId="37" xfId="205" applyNumberFormat="1" applyFont="1" applyFill="1" applyBorder="1" applyAlignment="1"/>
    <xf numFmtId="164" fontId="17" fillId="72" borderId="33" xfId="205" applyNumberFormat="1" applyFont="1" applyFill="1" applyBorder="1" applyAlignment="1"/>
    <xf numFmtId="164" fontId="17" fillId="72" borderId="32" xfId="205" applyNumberFormat="1" applyFont="1" applyFill="1" applyBorder="1" applyAlignment="1"/>
    <xf numFmtId="164" fontId="17" fillId="72" borderId="15" xfId="205" applyNumberFormat="1" applyFont="1" applyFill="1" applyBorder="1" applyAlignment="1"/>
    <xf numFmtId="164" fontId="17" fillId="72" borderId="11" xfId="205" applyNumberFormat="1" applyFont="1" applyFill="1" applyBorder="1" applyAlignment="1"/>
    <xf numFmtId="164" fontId="17" fillId="72" borderId="43" xfId="205" applyNumberFormat="1" applyFont="1" applyFill="1" applyBorder="1" applyAlignment="1"/>
    <xf numFmtId="0" fontId="25" fillId="72" borderId="11" xfId="0" applyFont="1" applyFill="1" applyBorder="1"/>
    <xf numFmtId="0" fontId="25" fillId="72" borderId="15" xfId="0" applyFont="1" applyFill="1" applyBorder="1"/>
    <xf numFmtId="0" fontId="25" fillId="72" borderId="43" xfId="0" applyFont="1" applyFill="1" applyBorder="1"/>
    <xf numFmtId="0" fontId="25" fillId="72" borderId="29" xfId="0" applyFont="1" applyFill="1" applyBorder="1"/>
    <xf numFmtId="0" fontId="25" fillId="72" borderId="24" xfId="0" applyFont="1" applyFill="1" applyBorder="1"/>
    <xf numFmtId="0" fontId="25" fillId="72" borderId="44" xfId="0" applyFont="1" applyFill="1" applyBorder="1"/>
    <xf numFmtId="164" fontId="17" fillId="72" borderId="25" xfId="205" applyNumberFormat="1" applyFont="1" applyFill="1" applyBorder="1" applyAlignment="1">
      <alignment horizontal="center"/>
    </xf>
    <xf numFmtId="164" fontId="17" fillId="72" borderId="24" xfId="205" applyNumberFormat="1" applyFont="1" applyFill="1" applyBorder="1" applyAlignment="1">
      <alignment horizontal="center"/>
    </xf>
    <xf numFmtId="164" fontId="17" fillId="72" borderId="29" xfId="205" applyNumberFormat="1" applyFont="1" applyFill="1" applyBorder="1" applyAlignment="1">
      <alignment horizontal="center"/>
    </xf>
    <xf numFmtId="164" fontId="17" fillId="72" borderId="44" xfId="205" applyNumberFormat="1" applyFont="1" applyFill="1" applyBorder="1" applyAlignment="1">
      <alignment horizontal="center"/>
    </xf>
    <xf numFmtId="0" fontId="17" fillId="0" borderId="0" xfId="0" applyFont="1" applyFill="1" applyAlignment="1">
      <alignment horizontal="center" vertical="center" wrapText="1"/>
    </xf>
    <xf numFmtId="164" fontId="6" fillId="0" borderId="0" xfId="0" applyNumberFormat="1" applyFont="1" applyFill="1" applyAlignment="1">
      <alignment vertical="center" wrapText="1"/>
    </xf>
    <xf numFmtId="164" fontId="17" fillId="72" borderId="49" xfId="205" applyNumberFormat="1" applyFont="1" applyFill="1" applyBorder="1" applyAlignment="1"/>
    <xf numFmtId="0" fontId="23" fillId="0" borderId="43"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34" xfId="0" applyFont="1" applyFill="1" applyBorder="1" applyAlignment="1">
      <alignment vertical="center"/>
    </xf>
    <xf numFmtId="0" fontId="29" fillId="0" borderId="0" xfId="0" applyFont="1" applyAlignment="1">
      <alignment horizontal="center" vertical="center"/>
    </xf>
    <xf numFmtId="0" fontId="5" fillId="0" borderId="0" xfId="0" applyFont="1" applyFill="1" applyBorder="1" applyAlignment="1">
      <alignment horizontal="center" vertical="center" wrapText="1"/>
    </xf>
    <xf numFmtId="0" fontId="18" fillId="0" borderId="43" xfId="0" applyFont="1" applyFill="1" applyBorder="1" applyAlignment="1">
      <alignment horizontal="center"/>
    </xf>
    <xf numFmtId="0" fontId="5" fillId="0" borderId="34" xfId="0" applyFont="1" applyFill="1" applyBorder="1" applyAlignment="1">
      <alignment vertical="center" wrapText="1"/>
    </xf>
    <xf numFmtId="0" fontId="5" fillId="0" borderId="47" xfId="0" applyFont="1" applyFill="1" applyBorder="1" applyAlignment="1">
      <alignment vertical="center" wrapText="1"/>
    </xf>
    <xf numFmtId="164" fontId="24" fillId="0" borderId="44" xfId="205" applyFont="1" applyFill="1" applyBorder="1" applyAlignment="1">
      <alignment horizontal="center"/>
    </xf>
    <xf numFmtId="164" fontId="23" fillId="72" borderId="11" xfId="205" applyFont="1" applyFill="1" applyBorder="1" applyAlignment="1">
      <alignment horizontal="center" wrapText="1" shrinkToFit="1"/>
    </xf>
    <xf numFmtId="164" fontId="23" fillId="72" borderId="21" xfId="205" applyFont="1" applyFill="1" applyBorder="1" applyAlignment="1">
      <alignment horizontal="center" wrapText="1" shrinkToFit="1"/>
    </xf>
    <xf numFmtId="164" fontId="23" fillId="72" borderId="31" xfId="205" applyFont="1" applyFill="1" applyBorder="1" applyAlignment="1">
      <alignment horizontal="center" wrapText="1" shrinkToFit="1"/>
    </xf>
    <xf numFmtId="49" fontId="29" fillId="72" borderId="42" xfId="0" quotePrefix="1" applyNumberFormat="1" applyFont="1" applyFill="1" applyBorder="1" applyAlignment="1">
      <alignment horizontal="center" vertical="center" wrapText="1"/>
    </xf>
    <xf numFmtId="0" fontId="23" fillId="0" borderId="34" xfId="0" applyFont="1" applyFill="1" applyBorder="1" applyAlignment="1">
      <alignment vertical="center"/>
    </xf>
    <xf numFmtId="0" fontId="23" fillId="0" borderId="38" xfId="0" applyFont="1" applyFill="1" applyBorder="1" applyAlignment="1">
      <alignment horizontal="center" vertical="center"/>
    </xf>
    <xf numFmtId="49" fontId="137" fillId="0" borderId="38" xfId="0" applyNumberFormat="1" applyFont="1" applyFill="1" applyBorder="1" applyAlignment="1">
      <alignment horizontal="center" vertical="center" wrapText="1"/>
    </xf>
    <xf numFmtId="0" fontId="70" fillId="0" borderId="38" xfId="0" applyFont="1" applyFill="1" applyBorder="1" applyAlignment="1">
      <alignment horizontal="center" vertical="center" wrapText="1"/>
    </xf>
    <xf numFmtId="0" fontId="63" fillId="0" borderId="38" xfId="0" applyFont="1" applyFill="1" applyBorder="1" applyAlignment="1">
      <alignment horizontal="center" vertical="center" wrapText="1"/>
    </xf>
    <xf numFmtId="164" fontId="64" fillId="0" borderId="38" xfId="205" quotePrefix="1" applyFont="1" applyFill="1" applyBorder="1" applyAlignment="1">
      <alignment horizontal="center" vertical="center"/>
    </xf>
    <xf numFmtId="164" fontId="118" fillId="0" borderId="38" xfId="205" applyFont="1" applyFill="1" applyBorder="1" applyAlignment="1">
      <alignment vertical="center"/>
    </xf>
    <xf numFmtId="165" fontId="62" fillId="0" borderId="0" xfId="205" applyNumberFormat="1" applyFont="1" applyFill="1" applyAlignment="1">
      <alignment horizontal="center" vertical="center" wrapText="1"/>
    </xf>
    <xf numFmtId="0" fontId="23" fillId="0" borderId="15" xfId="0" applyFont="1" applyFill="1" applyBorder="1" applyAlignment="1">
      <alignment horizontal="center" vertical="center" wrapText="1"/>
    </xf>
    <xf numFmtId="0" fontId="23" fillId="0" borderId="34" xfId="0" applyFont="1" applyFill="1" applyBorder="1" applyAlignment="1">
      <alignment vertical="center"/>
    </xf>
    <xf numFmtId="0" fontId="23" fillId="0" borderId="11" xfId="0" applyFont="1" applyFill="1" applyBorder="1" applyAlignment="1">
      <alignment horizontal="center" vertical="center" wrapText="1"/>
    </xf>
    <xf numFmtId="0" fontId="23" fillId="0" borderId="0" xfId="0" applyFont="1" applyFill="1" applyAlignment="1">
      <alignment horizontal="center" vertical="center"/>
    </xf>
    <xf numFmtId="49" fontId="32" fillId="0" borderId="38" xfId="0" applyNumberFormat="1" applyFont="1" applyBorder="1" applyAlignment="1">
      <alignment horizontal="center" vertical="center" wrapText="1"/>
    </xf>
    <xf numFmtId="0" fontId="29" fillId="0" borderId="0" xfId="0" applyFont="1" applyAlignment="1">
      <alignment horizontal="center" vertical="center"/>
    </xf>
    <xf numFmtId="164" fontId="23" fillId="27" borderId="14" xfId="205" applyFont="1" applyFill="1" applyBorder="1" applyAlignment="1"/>
    <xf numFmtId="0" fontId="23" fillId="68" borderId="11" xfId="0" applyFont="1" applyFill="1" applyBorder="1" applyAlignment="1">
      <alignment horizontal="center" vertical="center"/>
    </xf>
    <xf numFmtId="164" fontId="115" fillId="68" borderId="19" xfId="205" applyFont="1" applyFill="1" applyBorder="1" applyAlignment="1">
      <alignment horizontal="center"/>
    </xf>
    <xf numFmtId="164" fontId="115" fillId="68" borderId="49" xfId="205" applyFont="1" applyFill="1" applyBorder="1" applyAlignment="1">
      <alignment horizontal="center"/>
    </xf>
    <xf numFmtId="164" fontId="115" fillId="68" borderId="48" xfId="205" applyFont="1" applyFill="1" applyBorder="1" applyAlignment="1">
      <alignment horizontal="center"/>
    </xf>
    <xf numFmtId="164" fontId="23" fillId="68" borderId="48" xfId="205" applyFont="1" applyFill="1" applyBorder="1" applyAlignment="1"/>
    <xf numFmtId="164" fontId="115" fillId="68" borderId="23" xfId="205" applyFont="1" applyFill="1" applyBorder="1" applyAlignment="1">
      <alignment horizontal="center"/>
    </xf>
    <xf numFmtId="0" fontId="23" fillId="72" borderId="11" xfId="0" applyFont="1" applyFill="1" applyBorder="1" applyAlignment="1">
      <alignment horizontal="center" vertical="center"/>
    </xf>
    <xf numFmtId="164" fontId="23" fillId="72" borderId="31" xfId="205" applyFont="1" applyFill="1" applyBorder="1" applyAlignment="1"/>
    <xf numFmtId="164" fontId="23" fillId="0" borderId="48" xfId="205" applyFont="1" applyFill="1" applyBorder="1" applyAlignment="1"/>
    <xf numFmtId="164" fontId="115" fillId="27" borderId="51" xfId="205" applyFont="1" applyFill="1" applyBorder="1" applyAlignment="1">
      <alignment horizontal="center"/>
    </xf>
    <xf numFmtId="0" fontId="23" fillId="69" borderId="11" xfId="0" applyFont="1" applyFill="1" applyBorder="1" applyAlignment="1">
      <alignment horizontal="center" vertical="center"/>
    </xf>
    <xf numFmtId="164" fontId="115" fillId="69" borderId="21" xfId="205" applyFont="1" applyFill="1" applyBorder="1" applyAlignment="1">
      <alignment horizontal="center"/>
    </xf>
    <xf numFmtId="164" fontId="115" fillId="69" borderId="25" xfId="205" applyFont="1" applyFill="1" applyBorder="1" applyAlignment="1">
      <alignment horizontal="center"/>
    </xf>
    <xf numFmtId="164" fontId="23" fillId="69" borderId="48" xfId="205" applyFont="1" applyFill="1" applyBorder="1" applyAlignment="1"/>
    <xf numFmtId="0" fontId="23" fillId="68" borderId="15" xfId="0" applyFont="1" applyFill="1" applyBorder="1" applyAlignment="1">
      <alignment horizontal="center" vertical="center"/>
    </xf>
    <xf numFmtId="164" fontId="115" fillId="72" borderId="17" xfId="205" applyFont="1" applyFill="1" applyBorder="1" applyAlignment="1">
      <alignment horizontal="center"/>
    </xf>
    <xf numFmtId="0" fontId="23" fillId="69" borderId="15" xfId="0" applyFont="1" applyFill="1" applyBorder="1" applyAlignment="1">
      <alignment horizontal="center" vertical="center"/>
    </xf>
    <xf numFmtId="164" fontId="115" fillId="69" borderId="18" xfId="205" applyFont="1" applyFill="1" applyBorder="1" applyAlignment="1">
      <alignment horizontal="center"/>
    </xf>
    <xf numFmtId="164" fontId="115" fillId="69" borderId="27" xfId="205" applyFont="1" applyFill="1" applyBorder="1" applyAlignment="1">
      <alignment horizontal="center"/>
    </xf>
    <xf numFmtId="164" fontId="23" fillId="69" borderId="24" xfId="205" applyFont="1" applyFill="1" applyBorder="1" applyAlignment="1"/>
    <xf numFmtId="164" fontId="24" fillId="68" borderId="29" xfId="205" applyFont="1" applyFill="1" applyBorder="1" applyAlignment="1">
      <alignment horizontal="center"/>
    </xf>
    <xf numFmtId="164" fontId="24" fillId="72" borderId="29" xfId="205" applyFont="1" applyFill="1" applyBorder="1" applyAlignment="1">
      <alignment horizontal="center"/>
    </xf>
    <xf numFmtId="0" fontId="23" fillId="72" borderId="12" xfId="0" applyFont="1" applyFill="1" applyBorder="1" applyAlignment="1">
      <alignment horizontal="center" vertical="center"/>
    </xf>
    <xf numFmtId="164" fontId="23" fillId="72" borderId="16" xfId="205" applyFont="1" applyFill="1" applyBorder="1" applyAlignment="1">
      <alignment horizontal="center" wrapText="1" shrinkToFit="1"/>
    </xf>
    <xf numFmtId="164" fontId="23" fillId="72" borderId="25" xfId="205" applyFont="1" applyFill="1" applyBorder="1" applyAlignment="1">
      <alignment horizontal="center" wrapText="1" shrinkToFit="1"/>
    </xf>
    <xf numFmtId="164" fontId="23" fillId="68" borderId="37" xfId="205" applyFont="1" applyFill="1" applyBorder="1" applyAlignment="1">
      <alignment horizontal="center" wrapText="1" shrinkToFit="1"/>
    </xf>
    <xf numFmtId="164" fontId="23" fillId="72" borderId="33" xfId="205" applyFont="1" applyFill="1" applyBorder="1" applyAlignment="1">
      <alignment horizontal="center" wrapText="1" shrinkToFit="1"/>
    </xf>
    <xf numFmtId="164" fontId="21" fillId="0" borderId="35" xfId="205" applyNumberFormat="1" applyFont="1" applyFill="1" applyBorder="1" applyAlignment="1">
      <alignment horizontal="center"/>
    </xf>
    <xf numFmtId="0" fontId="29" fillId="0" borderId="0" xfId="0" applyFont="1" applyAlignment="1">
      <alignment horizontal="center" vertical="center"/>
    </xf>
    <xf numFmtId="164" fontId="29" fillId="0" borderId="38" xfId="205" applyNumberFormat="1" applyFont="1" applyFill="1" applyBorder="1" applyAlignment="1">
      <alignment horizontal="center" vertical="center" wrapText="1"/>
    </xf>
    <xf numFmtId="0" fontId="32" fillId="68" borderId="38" xfId="0" quotePrefix="1" applyFont="1" applyFill="1" applyBorder="1" applyAlignment="1">
      <alignment horizontal="center" vertical="center" wrapText="1"/>
    </xf>
    <xf numFmtId="0" fontId="32" fillId="68" borderId="38" xfId="0" applyNumberFormat="1" applyFont="1" applyFill="1" applyBorder="1" applyAlignment="1">
      <alignment vertical="center" wrapText="1"/>
    </xf>
    <xf numFmtId="164" fontId="17" fillId="72" borderId="12" xfId="205" applyNumberFormat="1" applyFont="1" applyFill="1" applyBorder="1" applyAlignment="1"/>
    <xf numFmtId="0" fontId="25" fillId="72" borderId="30" xfId="0" applyFont="1" applyFill="1" applyBorder="1"/>
    <xf numFmtId="164" fontId="17" fillId="72" borderId="30" xfId="205" applyNumberFormat="1" applyFont="1" applyFill="1" applyBorder="1" applyAlignment="1">
      <alignment horizontal="center"/>
    </xf>
    <xf numFmtId="164" fontId="17" fillId="72" borderId="13" xfId="205" applyNumberFormat="1" applyFont="1" applyFill="1" applyBorder="1" applyAlignment="1"/>
    <xf numFmtId="164" fontId="17" fillId="72" borderId="31" xfId="205" applyNumberFormat="1" applyFont="1" applyFill="1" applyBorder="1" applyAlignment="1"/>
    <xf numFmtId="164" fontId="17" fillId="72" borderId="0" xfId="205" applyNumberFormat="1" applyFont="1" applyFill="1" applyBorder="1" applyAlignment="1"/>
    <xf numFmtId="164" fontId="17" fillId="0" borderId="0" xfId="205" applyNumberFormat="1" applyFont="1" applyFill="1" applyBorder="1" applyAlignment="1"/>
    <xf numFmtId="164" fontId="21" fillId="0" borderId="32" xfId="205" applyNumberFormat="1" applyFont="1" applyFill="1" applyBorder="1" applyAlignment="1">
      <alignment horizontal="center"/>
    </xf>
    <xf numFmtId="164" fontId="21" fillId="72" borderId="49" xfId="205" applyNumberFormat="1" applyFont="1" applyFill="1" applyBorder="1" applyAlignment="1">
      <alignment horizontal="center"/>
    </xf>
    <xf numFmtId="164" fontId="21" fillId="0" borderId="12" xfId="205" applyNumberFormat="1" applyFont="1" applyFill="1" applyBorder="1" applyAlignment="1">
      <alignment horizontal="center"/>
    </xf>
    <xf numFmtId="164" fontId="21" fillId="72" borderId="15" xfId="205" applyNumberFormat="1" applyFont="1" applyFill="1" applyBorder="1" applyAlignment="1">
      <alignment horizontal="center"/>
    </xf>
    <xf numFmtId="164" fontId="21" fillId="72" borderId="11" xfId="205" applyNumberFormat="1" applyFont="1" applyFill="1" applyBorder="1" applyAlignment="1">
      <alignment horizontal="center"/>
    </xf>
    <xf numFmtId="164" fontId="21" fillId="72" borderId="43" xfId="205" applyNumberFormat="1" applyFont="1" applyFill="1" applyBorder="1" applyAlignment="1">
      <alignment horizontal="center"/>
    </xf>
    <xf numFmtId="164" fontId="21" fillId="0" borderId="11" xfId="205" applyNumberFormat="1" applyFont="1" applyFill="1" applyBorder="1" applyAlignment="1">
      <alignment horizontal="center"/>
    </xf>
    <xf numFmtId="164" fontId="21" fillId="0" borderId="89" xfId="205" applyNumberFormat="1" applyFont="1" applyFill="1" applyBorder="1" applyAlignment="1">
      <alignment horizontal="center"/>
    </xf>
    <xf numFmtId="164" fontId="21" fillId="0" borderId="13" xfId="205" applyNumberFormat="1" applyFont="1" applyFill="1" applyBorder="1" applyAlignment="1">
      <alignment horizontal="center"/>
    </xf>
    <xf numFmtId="164" fontId="21" fillId="72" borderId="41" xfId="205" applyNumberFormat="1" applyFont="1" applyFill="1" applyBorder="1" applyAlignment="1">
      <alignment horizontal="center"/>
    </xf>
    <xf numFmtId="164" fontId="21" fillId="72" borderId="12" xfId="205" applyNumberFormat="1" applyFont="1" applyFill="1" applyBorder="1" applyAlignment="1">
      <alignment horizontal="center"/>
    </xf>
    <xf numFmtId="164" fontId="21" fillId="72" borderId="32" xfId="205" applyNumberFormat="1" applyFont="1" applyFill="1" applyBorder="1" applyAlignment="1">
      <alignment horizontal="center"/>
    </xf>
    <xf numFmtId="0" fontId="25" fillId="72" borderId="12" xfId="0" applyFont="1" applyFill="1" applyBorder="1"/>
    <xf numFmtId="0" fontId="18" fillId="72" borderId="34" xfId="0" applyFont="1" applyFill="1" applyBorder="1" applyAlignment="1">
      <alignment horizontal="center"/>
    </xf>
    <xf numFmtId="164" fontId="21" fillId="72" borderId="29" xfId="205" applyNumberFormat="1" applyFont="1" applyFill="1" applyBorder="1" applyAlignment="1">
      <alignment horizontal="center"/>
    </xf>
    <xf numFmtId="164" fontId="17" fillId="0" borderId="43" xfId="205" applyNumberFormat="1" applyFont="1" applyFill="1" applyBorder="1" applyAlignment="1"/>
    <xf numFmtId="164" fontId="21" fillId="72" borderId="31" xfId="205" applyNumberFormat="1" applyFont="1" applyFill="1" applyBorder="1" applyAlignment="1">
      <alignment horizontal="center"/>
    </xf>
    <xf numFmtId="164" fontId="21" fillId="72" borderId="0" xfId="205" applyNumberFormat="1" applyFont="1" applyFill="1" applyBorder="1" applyAlignment="1">
      <alignment horizontal="center"/>
    </xf>
    <xf numFmtId="164" fontId="21" fillId="0" borderId="48" xfId="205" applyNumberFormat="1" applyFont="1" applyFill="1" applyBorder="1" applyAlignment="1">
      <alignment horizontal="center"/>
    </xf>
    <xf numFmtId="164" fontId="17" fillId="72" borderId="34" xfId="205" applyNumberFormat="1" applyFont="1" applyFill="1" applyBorder="1" applyAlignment="1"/>
    <xf numFmtId="164" fontId="21" fillId="0" borderId="29" xfId="205" applyNumberFormat="1" applyFont="1" applyFill="1" applyBorder="1" applyAlignment="1">
      <alignment horizontal="center"/>
    </xf>
    <xf numFmtId="164" fontId="17" fillId="0" borderId="19" xfId="205" applyNumberFormat="1" applyFont="1" applyFill="1" applyBorder="1" applyAlignment="1"/>
    <xf numFmtId="164" fontId="25" fillId="0" borderId="43" xfId="0" applyNumberFormat="1" applyFont="1" applyFill="1" applyBorder="1"/>
    <xf numFmtId="164" fontId="25" fillId="0" borderId="44" xfId="0" applyNumberFormat="1" applyFont="1" applyFill="1" applyBorder="1"/>
    <xf numFmtId="164" fontId="17" fillId="0" borderId="47" xfId="205" applyNumberFormat="1" applyFont="1" applyFill="1" applyBorder="1" applyAlignment="1">
      <alignment horizontal="center"/>
    </xf>
    <xf numFmtId="164" fontId="21" fillId="0" borderId="0" xfId="205" applyNumberFormat="1" applyFont="1" applyFill="1" applyBorder="1" applyAlignment="1">
      <alignment horizontal="center"/>
    </xf>
    <xf numFmtId="164" fontId="147" fillId="0" borderId="0" xfId="0" applyNumberFormat="1" applyFont="1" applyFill="1" applyAlignment="1"/>
    <xf numFmtId="164" fontId="68" fillId="0" borderId="0" xfId="0" applyNumberFormat="1" applyFont="1" applyFill="1" applyAlignment="1">
      <alignment vertical="center"/>
    </xf>
    <xf numFmtId="0" fontId="68" fillId="0" borderId="0" xfId="0" applyFont="1" applyFill="1" applyAlignment="1">
      <alignment vertical="center"/>
    </xf>
    <xf numFmtId="164" fontId="127" fillId="0" borderId="17" xfId="205" applyFont="1" applyBorder="1" applyAlignment="1" applyProtection="1">
      <alignment horizontal="right" wrapText="1" shrinkToFit="1"/>
    </xf>
    <xf numFmtId="164" fontId="127" fillId="0" borderId="22" xfId="205" applyFont="1" applyBorder="1" applyAlignment="1" applyProtection="1">
      <alignment horizontal="right" wrapText="1" shrinkToFit="1"/>
    </xf>
    <xf numFmtId="164" fontId="127" fillId="0" borderId="26" xfId="205" applyFont="1" applyBorder="1" applyAlignment="1" applyProtection="1">
      <alignment horizontal="right" wrapText="1" shrinkToFit="1"/>
    </xf>
    <xf numFmtId="164" fontId="127" fillId="0" borderId="82" xfId="205" applyFont="1" applyBorder="1" applyAlignment="1" applyProtection="1">
      <alignment horizontal="right" wrapText="1" shrinkToFit="1"/>
    </xf>
    <xf numFmtId="164" fontId="127" fillId="0" borderId="80" xfId="205" applyFont="1" applyFill="1" applyBorder="1" applyAlignment="1" applyProtection="1">
      <alignment horizontal="right" wrapText="1" shrinkToFit="1"/>
    </xf>
    <xf numFmtId="164" fontId="24" fillId="0" borderId="16" xfId="205" applyFont="1" applyFill="1" applyBorder="1" applyAlignment="1">
      <alignment horizontal="right" wrapText="1"/>
    </xf>
    <xf numFmtId="164" fontId="24" fillId="0" borderId="21" xfId="205" applyFont="1" applyFill="1" applyBorder="1" applyAlignment="1">
      <alignment horizontal="right" wrapText="1"/>
    </xf>
    <xf numFmtId="164" fontId="24" fillId="0" borderId="25" xfId="205" applyFont="1" applyFill="1" applyBorder="1" applyAlignment="1">
      <alignment horizontal="right" wrapText="1"/>
    </xf>
    <xf numFmtId="164" fontId="23" fillId="0" borderId="14" xfId="205" applyFont="1" applyFill="1" applyBorder="1" applyAlignment="1">
      <alignment horizontal="right" wrapText="1"/>
    </xf>
    <xf numFmtId="164" fontId="23" fillId="0" borderId="29" xfId="205" applyFont="1" applyFill="1" applyBorder="1" applyAlignment="1">
      <alignment horizontal="right" wrapText="1"/>
    </xf>
    <xf numFmtId="164" fontId="23" fillId="0" borderId="30" xfId="205" applyFont="1" applyFill="1" applyBorder="1" applyAlignment="1">
      <alignment horizontal="right" wrapText="1"/>
    </xf>
    <xf numFmtId="164" fontId="23" fillId="0" borderId="11" xfId="205" applyFont="1" applyFill="1" applyBorder="1" applyAlignment="1">
      <alignment horizontal="right" wrapText="1"/>
    </xf>
    <xf numFmtId="164" fontId="23" fillId="0" borderId="31" xfId="205" applyFont="1" applyFill="1" applyBorder="1" applyAlignment="1">
      <alignment horizontal="right" wrapText="1"/>
    </xf>
    <xf numFmtId="49" fontId="29" fillId="29" borderId="38" xfId="0" applyNumberFormat="1" applyFont="1" applyFill="1" applyBorder="1" applyAlignment="1">
      <alignment horizontal="center" vertical="center" wrapText="1"/>
    </xf>
    <xf numFmtId="164" fontId="117" fillId="70" borderId="38" xfId="205" applyFont="1" applyFill="1" applyBorder="1" applyAlignment="1">
      <alignment vertical="center"/>
    </xf>
    <xf numFmtId="164" fontId="31" fillId="0" borderId="22" xfId="205" applyNumberFormat="1" applyFont="1" applyBorder="1" applyAlignment="1">
      <alignment horizontal="center" vertical="center"/>
    </xf>
    <xf numFmtId="164" fontId="126" fillId="76" borderId="58" xfId="205" applyFont="1" applyFill="1" applyBorder="1" applyAlignment="1" applyProtection="1">
      <alignment horizontal="right" vertical="top" shrinkToFit="1"/>
    </xf>
    <xf numFmtId="4" fontId="115" fillId="0" borderId="38" xfId="41" applyNumberFormat="1" applyFont="1" applyBorder="1" applyProtection="1">
      <alignment horizontal="right" vertical="top" shrinkToFit="1"/>
    </xf>
    <xf numFmtId="4" fontId="75" fillId="0" borderId="38" xfId="208" applyNumberFormat="1" applyBorder="1" applyProtection="1">
      <alignment horizontal="right" vertical="top" shrinkToFit="1"/>
    </xf>
    <xf numFmtId="4" fontId="115" fillId="0" borderId="0" xfId="41" applyNumberFormat="1" applyFont="1" applyBorder="1" applyProtection="1">
      <alignment horizontal="right" vertical="top" shrinkToFit="1"/>
    </xf>
    <xf numFmtId="4" fontId="120" fillId="0" borderId="59" xfId="104" applyNumberFormat="1" applyFont="1" applyBorder="1" applyAlignment="1" applyProtection="1">
      <alignment horizontal="right" vertical="top" shrinkToFit="1"/>
    </xf>
    <xf numFmtId="164" fontId="17" fillId="72" borderId="36" xfId="205" applyNumberFormat="1" applyFont="1" applyFill="1" applyBorder="1" applyAlignment="1"/>
    <xf numFmtId="164" fontId="17" fillId="72" borderId="47" xfId="205" applyNumberFormat="1" applyFont="1" applyFill="1" applyBorder="1" applyAlignment="1"/>
    <xf numFmtId="164" fontId="21" fillId="0" borderId="43" xfId="205" applyNumberFormat="1" applyFont="1" applyFill="1" applyBorder="1" applyAlignment="1">
      <alignment horizontal="center"/>
    </xf>
    <xf numFmtId="0" fontId="18" fillId="0" borderId="47" xfId="0" applyFont="1" applyFill="1" applyBorder="1" applyAlignment="1">
      <alignment horizontal="center"/>
    </xf>
    <xf numFmtId="164" fontId="21" fillId="0" borderId="31" xfId="205" applyNumberFormat="1" applyFont="1" applyFill="1" applyBorder="1" applyAlignment="1">
      <alignment horizontal="center"/>
    </xf>
    <xf numFmtId="164" fontId="21" fillId="72" borderId="48" xfId="205" applyNumberFormat="1" applyFont="1" applyFill="1" applyBorder="1" applyAlignment="1">
      <alignment horizontal="center"/>
    </xf>
    <xf numFmtId="164" fontId="21" fillId="72" borderId="13" xfId="205" applyNumberFormat="1" applyFont="1" applyFill="1" applyBorder="1" applyAlignment="1">
      <alignment horizontal="center"/>
    </xf>
    <xf numFmtId="164" fontId="21" fillId="0" borderId="90" xfId="205" applyNumberFormat="1" applyFont="1" applyFill="1" applyBorder="1" applyAlignment="1">
      <alignment horizontal="center"/>
    </xf>
    <xf numFmtId="164" fontId="21" fillId="72" borderId="44" xfId="205" applyNumberFormat="1" applyFont="1" applyFill="1" applyBorder="1" applyAlignment="1">
      <alignment horizontal="center"/>
    </xf>
    <xf numFmtId="164" fontId="21" fillId="72" borderId="30" xfId="205" applyNumberFormat="1" applyFont="1" applyFill="1" applyBorder="1" applyAlignment="1">
      <alignment horizontal="center"/>
    </xf>
    <xf numFmtId="164" fontId="21" fillId="0" borderId="30" xfId="205" applyNumberFormat="1" applyFont="1" applyFill="1" applyBorder="1" applyAlignment="1">
      <alignment horizontal="center"/>
    </xf>
    <xf numFmtId="164" fontId="21" fillId="0" borderId="91" xfId="205" applyNumberFormat="1" applyFont="1" applyFill="1" applyBorder="1" applyAlignment="1">
      <alignment horizontal="center"/>
    </xf>
    <xf numFmtId="164" fontId="21" fillId="0" borderId="44" xfId="205" applyNumberFormat="1" applyFont="1" applyFill="1" applyBorder="1" applyAlignment="1">
      <alignment horizontal="center"/>
    </xf>
    <xf numFmtId="0" fontId="8" fillId="27" borderId="38"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18" fillId="0" borderId="31" xfId="0" applyFont="1" applyFill="1" applyBorder="1" applyAlignment="1">
      <alignment horizontal="center" vertical="center" wrapText="1"/>
    </xf>
    <xf numFmtId="166" fontId="5" fillId="0" borderId="0" xfId="205" applyNumberFormat="1" applyFont="1"/>
    <xf numFmtId="0" fontId="23" fillId="0" borderId="15"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0" xfId="0" applyFont="1" applyFill="1" applyAlignment="1">
      <alignment horizontal="center" vertical="center"/>
    </xf>
    <xf numFmtId="0" fontId="23" fillId="0" borderId="34" xfId="0" applyFont="1" applyFill="1" applyBorder="1" applyAlignment="1">
      <alignment vertical="center"/>
    </xf>
    <xf numFmtId="0" fontId="29" fillId="0" borderId="0" xfId="0" applyFont="1" applyAlignment="1">
      <alignment horizontal="center" vertical="center"/>
    </xf>
    <xf numFmtId="0" fontId="29" fillId="0" borderId="0" xfId="0" applyFont="1" applyAlignment="1">
      <alignment horizontal="center" vertical="center"/>
    </xf>
    <xf numFmtId="173" fontId="3" fillId="0" borderId="0" xfId="205" applyNumberFormat="1" applyFont="1"/>
    <xf numFmtId="0" fontId="18" fillId="0" borderId="34" xfId="0" applyFont="1" applyFill="1" applyBorder="1" applyAlignment="1">
      <alignment vertical="center" wrapText="1"/>
    </xf>
    <xf numFmtId="0" fontId="18" fillId="0" borderId="47" xfId="0" applyFont="1" applyFill="1" applyBorder="1" applyAlignment="1">
      <alignment vertical="center" wrapText="1"/>
    </xf>
    <xf numFmtId="0" fontId="4" fillId="72" borderId="11" xfId="0" applyFont="1" applyFill="1" applyBorder="1" applyAlignment="1">
      <alignment horizontal="center" vertical="center" wrapText="1"/>
    </xf>
    <xf numFmtId="0" fontId="3" fillId="75" borderId="38" xfId="0" applyFont="1" applyFill="1" applyBorder="1" applyAlignment="1">
      <alignment horizontal="left" vertical="center" wrapText="1"/>
    </xf>
    <xf numFmtId="4" fontId="117" fillId="0" borderId="57" xfId="210" applyNumberFormat="1" applyFont="1" applyFill="1" applyProtection="1">
      <alignment horizontal="right" shrinkToFit="1"/>
    </xf>
    <xf numFmtId="0" fontId="23" fillId="0" borderId="34" xfId="0" applyFont="1" applyFill="1" applyBorder="1" applyAlignment="1">
      <alignment vertical="center"/>
    </xf>
    <xf numFmtId="0" fontId="23" fillId="0" borderId="0" xfId="0" applyFont="1" applyFill="1" applyAlignment="1">
      <alignment horizontal="center" vertical="center"/>
    </xf>
    <xf numFmtId="4" fontId="126" fillId="76" borderId="58" xfId="209" applyNumberFormat="1" applyFont="1" applyProtection="1">
      <alignment horizontal="right" vertical="top" shrinkToFit="1"/>
    </xf>
    <xf numFmtId="164" fontId="23" fillId="25" borderId="16" xfId="205" applyFont="1" applyFill="1" applyBorder="1" applyAlignment="1">
      <alignment horizontal="center"/>
    </xf>
    <xf numFmtId="164" fontId="23" fillId="25" borderId="50" xfId="205" applyFont="1" applyFill="1" applyBorder="1" applyAlignment="1">
      <alignment horizontal="center"/>
    </xf>
    <xf numFmtId="164" fontId="23" fillId="72" borderId="83" xfId="205" applyFont="1" applyFill="1" applyBorder="1" applyAlignment="1">
      <alignment horizontal="center"/>
    </xf>
    <xf numFmtId="4" fontId="114" fillId="0" borderId="38" xfId="41" applyNumberFormat="1" applyFont="1" applyBorder="1" applyProtection="1">
      <alignment horizontal="right" vertical="top" shrinkToFit="1"/>
    </xf>
    <xf numFmtId="4" fontId="115" fillId="0" borderId="42" xfId="41" applyNumberFormat="1" applyFont="1" applyBorder="1" applyProtection="1">
      <alignment horizontal="right" vertical="top" shrinkToFit="1"/>
    </xf>
    <xf numFmtId="164" fontId="115" fillId="27" borderId="22" xfId="205" applyFont="1" applyFill="1" applyBorder="1" applyAlignment="1">
      <alignment horizontal="center" wrapText="1" shrinkToFit="1"/>
    </xf>
    <xf numFmtId="164" fontId="115" fillId="27" borderId="21" xfId="205" applyFont="1" applyFill="1" applyBorder="1" applyAlignment="1">
      <alignment horizontal="center" wrapText="1" shrinkToFit="1"/>
    </xf>
    <xf numFmtId="164" fontId="115" fillId="72" borderId="48" xfId="205" applyFont="1" applyFill="1" applyBorder="1" applyAlignment="1">
      <alignment horizontal="center"/>
    </xf>
    <xf numFmtId="164" fontId="116" fillId="0" borderId="38" xfId="0" applyNumberFormat="1" applyFont="1" applyFill="1" applyBorder="1" applyAlignment="1">
      <alignment vertical="center"/>
    </xf>
    <xf numFmtId="164" fontId="21" fillId="72" borderId="16" xfId="205" applyNumberFormat="1" applyFont="1" applyFill="1" applyBorder="1" applyAlignment="1">
      <alignment horizontal="center"/>
    </xf>
    <xf numFmtId="164" fontId="21" fillId="72" borderId="17" xfId="205" applyNumberFormat="1" applyFont="1" applyFill="1" applyBorder="1" applyAlignment="1">
      <alignment horizontal="center"/>
    </xf>
    <xf numFmtId="164" fontId="21" fillId="72" borderId="19" xfId="205" applyNumberFormat="1" applyFont="1" applyFill="1" applyBorder="1" applyAlignment="1">
      <alignment horizontal="center"/>
    </xf>
    <xf numFmtId="164" fontId="21" fillId="72" borderId="28" xfId="205" applyNumberFormat="1" applyFont="1" applyFill="1" applyBorder="1" applyAlignment="1">
      <alignment horizontal="center"/>
    </xf>
    <xf numFmtId="164" fontId="148" fillId="0" borderId="0" xfId="0" applyNumberFormat="1" applyFont="1" applyFill="1"/>
    <xf numFmtId="0" fontId="148" fillId="0" borderId="0" xfId="0" applyFont="1" applyFill="1"/>
    <xf numFmtId="164" fontId="148" fillId="0" borderId="0" xfId="0" applyNumberFormat="1" applyFont="1" applyFill="1" applyAlignment="1">
      <alignment horizontal="center" vertical="center" wrapText="1"/>
    </xf>
    <xf numFmtId="0" fontId="148" fillId="0" borderId="0" xfId="0" applyFont="1" applyFill="1" applyAlignment="1">
      <alignment horizontal="center" vertical="center" wrapText="1"/>
    </xf>
    <xf numFmtId="164" fontId="133" fillId="68" borderId="0" xfId="0" applyNumberFormat="1" applyFont="1" applyFill="1"/>
    <xf numFmtId="174" fontId="0" fillId="0" borderId="0" xfId="0" applyNumberFormat="1"/>
    <xf numFmtId="0" fontId="23" fillId="0" borderId="34" xfId="0" applyFont="1" applyFill="1" applyBorder="1" applyAlignment="1">
      <alignment vertical="center"/>
    </xf>
    <xf numFmtId="0" fontId="23" fillId="0" borderId="22" xfId="0" applyFont="1" applyFill="1" applyBorder="1" applyAlignment="1">
      <alignment horizontal="center" vertical="center" wrapText="1"/>
    </xf>
    <xf numFmtId="0" fontId="23" fillId="0" borderId="34" xfId="0" applyFont="1" applyFill="1" applyBorder="1" applyAlignment="1">
      <alignment vertical="center"/>
    </xf>
    <xf numFmtId="0" fontId="23" fillId="0" borderId="11" xfId="0" applyFont="1" applyFill="1" applyBorder="1" applyAlignment="1">
      <alignment horizontal="center" vertical="center" wrapText="1"/>
    </xf>
    <xf numFmtId="0" fontId="23" fillId="0" borderId="0" xfId="0" applyFont="1" applyFill="1" applyAlignment="1">
      <alignment horizontal="center" vertical="center"/>
    </xf>
    <xf numFmtId="164" fontId="115" fillId="72" borderId="26" xfId="205" applyFont="1" applyFill="1" applyBorder="1" applyAlignment="1">
      <alignment horizontal="center"/>
    </xf>
    <xf numFmtId="164" fontId="115" fillId="25" borderId="83" xfId="205" applyFont="1" applyFill="1" applyBorder="1" applyAlignment="1">
      <alignment horizontal="center"/>
    </xf>
    <xf numFmtId="0" fontId="23" fillId="0" borderId="36" xfId="0" applyFont="1" applyFill="1" applyBorder="1" applyAlignment="1">
      <alignment horizontal="center" vertical="center" wrapText="1"/>
    </xf>
    <xf numFmtId="4" fontId="130" fillId="0" borderId="59" xfId="104" applyNumberFormat="1" applyFont="1" applyBorder="1" applyAlignment="1" applyProtection="1">
      <alignment horizontal="right" shrinkToFit="1"/>
    </xf>
    <xf numFmtId="164" fontId="23" fillId="68" borderId="33" xfId="205" applyFont="1" applyFill="1" applyBorder="1" applyAlignment="1">
      <alignment horizontal="center" wrapText="1" shrinkToFit="1"/>
    </xf>
    <xf numFmtId="164" fontId="115" fillId="0" borderId="0" xfId="0" applyNumberFormat="1" applyFont="1" applyFill="1" applyBorder="1" applyAlignment="1">
      <alignment horizontal="center" vertical="center"/>
    </xf>
    <xf numFmtId="164" fontId="23" fillId="0" borderId="38" xfId="0" applyNumberFormat="1" applyFont="1" applyFill="1" applyBorder="1" applyAlignment="1">
      <alignment horizontal="center" vertical="center"/>
    </xf>
    <xf numFmtId="4" fontId="149" fillId="76" borderId="58" xfId="209" applyNumberFormat="1" applyFont="1" applyProtection="1">
      <alignment horizontal="right" vertical="top" shrinkToFit="1"/>
    </xf>
    <xf numFmtId="4" fontId="150" fillId="49" borderId="57" xfId="210" applyNumberFormat="1" applyFont="1" applyProtection="1">
      <alignment horizontal="right" shrinkToFit="1"/>
    </xf>
    <xf numFmtId="4" fontId="23" fillId="0" borderId="0" xfId="41" applyNumberFormat="1" applyFont="1" applyBorder="1" applyProtection="1">
      <alignment horizontal="right" vertical="top" shrinkToFit="1"/>
    </xf>
    <xf numFmtId="164" fontId="151" fillId="76" borderId="58" xfId="205" applyFont="1" applyFill="1" applyBorder="1" applyAlignment="1" applyProtection="1">
      <alignment horizontal="right" vertical="top" shrinkToFit="1"/>
    </xf>
    <xf numFmtId="164" fontId="135" fillId="76" borderId="58" xfId="205" applyFont="1" applyFill="1" applyBorder="1" applyAlignment="1" applyProtection="1">
      <alignment horizontal="right" vertical="top" shrinkToFit="1"/>
    </xf>
    <xf numFmtId="164" fontId="24" fillId="72" borderId="32" xfId="205" applyFont="1" applyFill="1" applyBorder="1" applyAlignment="1">
      <alignment horizontal="center"/>
    </xf>
    <xf numFmtId="164" fontId="24" fillId="72" borderId="0" xfId="205" applyFont="1" applyFill="1" applyBorder="1" applyAlignment="1">
      <alignment horizontal="center"/>
    </xf>
    <xf numFmtId="164" fontId="75" fillId="0" borderId="58" xfId="205" applyFont="1" applyBorder="1" applyAlignment="1" applyProtection="1">
      <alignment horizontal="right" vertical="top" shrinkToFit="1"/>
    </xf>
    <xf numFmtId="164" fontId="74" fillId="49" borderId="57" xfId="205" applyFont="1" applyFill="1" applyBorder="1" applyAlignment="1" applyProtection="1">
      <alignment horizontal="right" shrinkToFit="1"/>
    </xf>
    <xf numFmtId="0" fontId="23" fillId="0" borderId="0" xfId="0" applyFont="1" applyFill="1" applyAlignment="1">
      <alignment horizontal="center" vertical="center"/>
    </xf>
    <xf numFmtId="0" fontId="23" fillId="0" borderId="34" xfId="0" applyFont="1" applyFill="1" applyBorder="1" applyAlignment="1">
      <alignment vertical="center"/>
    </xf>
    <xf numFmtId="4" fontId="127" fillId="0" borderId="0" xfId="104" applyNumberFormat="1" applyFont="1" applyBorder="1" applyAlignment="1" applyProtection="1">
      <alignment horizontal="right" shrinkToFit="1"/>
    </xf>
    <xf numFmtId="4" fontId="127" fillId="0" borderId="22" xfId="104" applyNumberFormat="1" applyFont="1" applyBorder="1" applyAlignment="1" applyProtection="1">
      <alignment horizontal="right" shrinkToFit="1"/>
    </xf>
    <xf numFmtId="164" fontId="24" fillId="68" borderId="28" xfId="205" applyFont="1" applyFill="1" applyBorder="1" applyAlignment="1">
      <alignment horizontal="center" wrapText="1" shrinkToFit="1"/>
    </xf>
    <xf numFmtId="164" fontId="23" fillId="25" borderId="44" xfId="205" applyFont="1" applyFill="1" applyBorder="1" applyAlignment="1">
      <alignment horizontal="center"/>
    </xf>
    <xf numFmtId="164" fontId="24" fillId="68" borderId="49" xfId="205" applyFont="1" applyFill="1" applyBorder="1" applyAlignment="1">
      <alignment horizontal="center" wrapText="1" shrinkToFit="1"/>
    </xf>
    <xf numFmtId="0" fontId="23" fillId="25" borderId="36" xfId="0" applyFont="1" applyFill="1" applyBorder="1" applyAlignment="1">
      <alignment horizontal="center" vertical="center"/>
    </xf>
    <xf numFmtId="164" fontId="23" fillId="77" borderId="38" xfId="205" applyNumberFormat="1" applyFont="1" applyFill="1" applyBorder="1" applyAlignment="1">
      <alignment horizontal="right" vertical="center" wrapText="1" shrinkToFit="1"/>
    </xf>
    <xf numFmtId="170" fontId="144" fillId="73" borderId="38" xfId="0" applyNumberFormat="1" applyFont="1" applyFill="1" applyBorder="1" applyAlignment="1">
      <alignment horizontal="center"/>
    </xf>
    <xf numFmtId="164" fontId="23" fillId="72" borderId="20" xfId="205" applyFont="1" applyFill="1" applyBorder="1" applyAlignment="1">
      <alignment horizontal="center" wrapText="1" shrinkToFit="1"/>
    </xf>
    <xf numFmtId="4" fontId="150" fillId="0" borderId="57" xfId="210" applyNumberFormat="1" applyFont="1" applyFill="1" applyProtection="1">
      <alignment horizontal="right" shrinkToFit="1"/>
    </xf>
    <xf numFmtId="4" fontId="135" fillId="76" borderId="92" xfId="209" applyNumberFormat="1" applyBorder="1" applyProtection="1">
      <alignment horizontal="right" vertical="top" shrinkToFit="1"/>
    </xf>
    <xf numFmtId="4" fontId="75" fillId="0" borderId="92" xfId="208" applyBorder="1" applyProtection="1">
      <alignment horizontal="right" vertical="top" shrinkToFit="1"/>
    </xf>
    <xf numFmtId="4" fontId="131" fillId="0" borderId="0" xfId="101" applyNumberFormat="1" applyFont="1" applyBorder="1" applyAlignment="1" applyProtection="1">
      <alignment horizontal="right" vertical="top" shrinkToFit="1"/>
    </xf>
    <xf numFmtId="0" fontId="23" fillId="0" borderId="36" xfId="0" applyFont="1" applyFill="1" applyBorder="1" applyAlignment="1">
      <alignment horizontal="center" vertical="center" wrapText="1"/>
    </xf>
    <xf numFmtId="0" fontId="23" fillId="0" borderId="34" xfId="0" applyFont="1" applyFill="1" applyBorder="1" applyAlignment="1">
      <alignment horizontal="center" vertical="center" wrapText="1"/>
    </xf>
    <xf numFmtId="0" fontId="23" fillId="0" borderId="47"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41" xfId="0" applyFont="1" applyFill="1" applyBorder="1" applyAlignment="1">
      <alignment horizontal="center" vertical="center" wrapText="1"/>
    </xf>
    <xf numFmtId="0" fontId="23" fillId="0" borderId="40" xfId="0" applyFont="1" applyFill="1" applyBorder="1" applyAlignment="1">
      <alignment horizontal="center" vertical="center" wrapText="1"/>
    </xf>
    <xf numFmtId="2" fontId="23" fillId="0" borderId="15" xfId="0" applyNumberFormat="1" applyFont="1" applyFill="1" applyBorder="1" applyAlignment="1">
      <alignment horizontal="center" vertical="center" wrapText="1"/>
    </xf>
    <xf numFmtId="2" fontId="23" fillId="0" borderId="12" xfId="0" applyNumberFormat="1" applyFont="1" applyFill="1" applyBorder="1" applyAlignment="1">
      <alignment horizontal="center" vertical="center" wrapText="1"/>
    </xf>
    <xf numFmtId="2" fontId="23" fillId="0" borderId="43" xfId="0" applyNumberFormat="1" applyFont="1" applyFill="1" applyBorder="1" applyAlignment="1">
      <alignment horizontal="center" vertical="center" wrapText="1"/>
    </xf>
    <xf numFmtId="2" fontId="23" fillId="0" borderId="24" xfId="0" applyNumberFormat="1" applyFont="1" applyFill="1" applyBorder="1" applyAlignment="1">
      <alignment horizontal="center" vertical="center" wrapText="1"/>
    </xf>
    <xf numFmtId="2" fontId="23" fillId="0" borderId="30" xfId="0" applyNumberFormat="1" applyFont="1" applyFill="1" applyBorder="1" applyAlignment="1">
      <alignment horizontal="center" vertical="center" wrapText="1"/>
    </xf>
    <xf numFmtId="2" fontId="23" fillId="0" borderId="44" xfId="0" applyNumberFormat="1" applyFont="1" applyFill="1" applyBorder="1" applyAlignment="1">
      <alignment horizontal="center" vertical="center" wrapText="1"/>
    </xf>
    <xf numFmtId="0" fontId="23" fillId="0" borderId="47" xfId="0" applyFont="1" applyFill="1" applyBorder="1" applyAlignment="1">
      <alignment vertical="center"/>
    </xf>
    <xf numFmtId="0" fontId="23" fillId="0" borderId="15"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0" borderId="24" xfId="0" applyFont="1" applyFill="1" applyBorder="1" applyAlignment="1">
      <alignment horizontal="center" vertical="center" wrapText="1"/>
    </xf>
    <xf numFmtId="0" fontId="23" fillId="0" borderId="30" xfId="0" applyFont="1" applyFill="1" applyBorder="1" applyAlignment="1">
      <alignment horizontal="center" vertical="center" wrapText="1"/>
    </xf>
    <xf numFmtId="0" fontId="23" fillId="27" borderId="36" xfId="0" applyFont="1" applyFill="1" applyBorder="1" applyAlignment="1">
      <alignment horizontal="center" vertical="center" wrapText="1"/>
    </xf>
    <xf numFmtId="0" fontId="23" fillId="27" borderId="34" xfId="0" applyFont="1" applyFill="1" applyBorder="1" applyAlignment="1">
      <alignment horizontal="center" vertical="center" wrapText="1"/>
    </xf>
    <xf numFmtId="0" fontId="23" fillId="0" borderId="22" xfId="0" applyFont="1" applyFill="1" applyBorder="1" applyAlignment="1">
      <alignment horizontal="center" vertical="center" wrapText="1"/>
    </xf>
    <xf numFmtId="0" fontId="23" fillId="0" borderId="43" xfId="0" applyFont="1" applyFill="1" applyBorder="1" applyAlignment="1">
      <alignment horizontal="center" vertical="center" wrapText="1"/>
    </xf>
    <xf numFmtId="0" fontId="23" fillId="0" borderId="44" xfId="0" applyFont="1" applyFill="1" applyBorder="1" applyAlignment="1">
      <alignment horizontal="center" vertical="center" wrapText="1"/>
    </xf>
    <xf numFmtId="2" fontId="23" fillId="27" borderId="36" xfId="0" applyNumberFormat="1" applyFont="1" applyFill="1" applyBorder="1" applyAlignment="1">
      <alignment horizontal="center" vertical="center" wrapText="1"/>
    </xf>
    <xf numFmtId="2" fontId="23" fillId="27" borderId="34" xfId="0" applyNumberFormat="1" applyFont="1" applyFill="1" applyBorder="1" applyAlignment="1">
      <alignment horizontal="center" vertical="center" wrapText="1"/>
    </xf>
    <xf numFmtId="0" fontId="23" fillId="27" borderId="47" xfId="0" applyFont="1" applyFill="1" applyBorder="1" applyAlignment="1">
      <alignment horizontal="center" vertical="center" wrapText="1"/>
    </xf>
    <xf numFmtId="0" fontId="23" fillId="0" borderId="35" xfId="0" applyFont="1" applyFill="1" applyBorder="1" applyAlignment="1">
      <alignment horizontal="center" vertical="center" wrapText="1"/>
    </xf>
    <xf numFmtId="2" fontId="23" fillId="27" borderId="47" xfId="0" applyNumberFormat="1" applyFont="1" applyFill="1" applyBorder="1" applyAlignment="1">
      <alignment horizontal="center" vertical="center" wrapText="1"/>
    </xf>
    <xf numFmtId="0" fontId="23" fillId="69" borderId="36" xfId="0" applyFont="1" applyFill="1" applyBorder="1" applyAlignment="1">
      <alignment horizontal="center" vertical="center" wrapText="1"/>
    </xf>
    <xf numFmtId="0" fontId="23" fillId="69" borderId="34" xfId="0" applyFont="1" applyFill="1" applyBorder="1" applyAlignment="1">
      <alignment horizontal="center" vertical="center" wrapText="1"/>
    </xf>
    <xf numFmtId="0" fontId="23" fillId="69" borderId="47" xfId="0" applyFont="1" applyFill="1" applyBorder="1" applyAlignment="1">
      <alignment horizontal="center" vertical="center" wrapText="1"/>
    </xf>
    <xf numFmtId="0" fontId="23" fillId="27" borderId="36" xfId="189" applyFont="1" applyFill="1" applyBorder="1" applyAlignment="1">
      <alignment horizontal="center" vertical="center" wrapText="1"/>
    </xf>
    <xf numFmtId="0" fontId="23" fillId="27" borderId="34" xfId="189" applyFont="1" applyFill="1" applyBorder="1" applyAlignment="1">
      <alignment horizontal="center" vertical="center" wrapText="1"/>
    </xf>
    <xf numFmtId="0" fontId="23" fillId="27" borderId="47" xfId="189" applyFont="1" applyFill="1" applyBorder="1" applyAlignment="1">
      <alignment horizontal="center" vertical="center" wrapText="1"/>
    </xf>
    <xf numFmtId="49" fontId="35" fillId="0" borderId="36" xfId="0" applyNumberFormat="1" applyFont="1" applyFill="1" applyBorder="1" applyAlignment="1">
      <alignment horizontal="center" vertical="center" wrapText="1"/>
    </xf>
    <xf numFmtId="49" fontId="35" fillId="0" borderId="34" xfId="0" applyNumberFormat="1" applyFont="1" applyFill="1" applyBorder="1" applyAlignment="1">
      <alignment horizontal="center" vertical="center" wrapText="1"/>
    </xf>
    <xf numFmtId="0" fontId="23" fillId="0" borderId="44" xfId="0" applyFont="1" applyFill="1" applyBorder="1" applyAlignment="1">
      <alignment vertical="center"/>
    </xf>
    <xf numFmtId="0" fontId="23" fillId="68" borderId="36" xfId="0" applyFont="1" applyFill="1" applyBorder="1" applyAlignment="1">
      <alignment horizontal="center" vertical="center" wrapText="1"/>
    </xf>
    <xf numFmtId="0" fontId="23" fillId="68" borderId="47" xfId="0" applyFont="1" applyFill="1" applyBorder="1" applyAlignment="1">
      <alignment horizontal="center" vertical="center" wrapText="1"/>
    </xf>
    <xf numFmtId="0" fontId="23" fillId="0" borderId="30" xfId="0" applyFont="1" applyFill="1" applyBorder="1" applyAlignment="1">
      <alignment vertical="center"/>
    </xf>
    <xf numFmtId="0" fontId="23" fillId="27" borderId="36" xfId="0" applyFont="1" applyFill="1" applyBorder="1" applyAlignment="1">
      <alignment horizontal="center" vertical="center"/>
    </xf>
    <xf numFmtId="0" fontId="23" fillId="27" borderId="34" xfId="0" applyFont="1" applyFill="1" applyBorder="1" applyAlignment="1">
      <alignment horizontal="center" vertical="center"/>
    </xf>
    <xf numFmtId="0" fontId="23" fillId="27" borderId="47" xfId="0" applyFont="1" applyFill="1" applyBorder="1" applyAlignment="1">
      <alignment horizontal="center" vertical="center"/>
    </xf>
    <xf numFmtId="2" fontId="23" fillId="0" borderId="36" xfId="0" applyNumberFormat="1" applyFont="1" applyFill="1" applyBorder="1" applyAlignment="1">
      <alignment horizontal="center" vertical="center" wrapText="1"/>
    </xf>
    <xf numFmtId="2" fontId="23" fillId="0" borderId="34" xfId="0" applyNumberFormat="1" applyFont="1" applyFill="1" applyBorder="1" applyAlignment="1">
      <alignment horizontal="center" vertical="center" wrapText="1"/>
    </xf>
    <xf numFmtId="2" fontId="23" fillId="0" borderId="47" xfId="0" applyNumberFormat="1"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47" xfId="0" applyFont="1" applyFill="1" applyBorder="1" applyAlignment="1">
      <alignment horizontal="center" vertical="center" wrapText="1"/>
    </xf>
    <xf numFmtId="0" fontId="23" fillId="0" borderId="41" xfId="0" applyFont="1" applyFill="1" applyBorder="1" applyAlignment="1">
      <alignment horizontal="center" vertical="center"/>
    </xf>
    <xf numFmtId="0" fontId="23" fillId="0" borderId="22" xfId="0" applyFont="1" applyFill="1" applyBorder="1" applyAlignment="1">
      <alignment horizontal="center" vertical="center"/>
    </xf>
    <xf numFmtId="0" fontId="23" fillId="0" borderId="40" xfId="0" applyFont="1" applyFill="1" applyBorder="1" applyAlignment="1">
      <alignment horizontal="center" vertical="center"/>
    </xf>
    <xf numFmtId="49" fontId="35" fillId="0" borderId="15" xfId="0" applyNumberFormat="1" applyFont="1" applyFill="1" applyBorder="1" applyAlignment="1">
      <alignment horizontal="center" vertical="center" wrapText="1"/>
    </xf>
    <xf numFmtId="49" fontId="35" fillId="0" borderId="12" xfId="0" applyNumberFormat="1" applyFont="1" applyFill="1" applyBorder="1" applyAlignment="1">
      <alignment horizontal="center" vertical="center" wrapText="1"/>
    </xf>
    <xf numFmtId="49" fontId="35" fillId="27" borderId="15" xfId="0" applyNumberFormat="1" applyFont="1" applyFill="1" applyBorder="1" applyAlignment="1">
      <alignment horizontal="center" vertical="center" wrapText="1"/>
    </xf>
    <xf numFmtId="49" fontId="35" fillId="27" borderId="43" xfId="0" applyNumberFormat="1" applyFont="1" applyFill="1" applyBorder="1" applyAlignment="1">
      <alignment horizontal="center" vertical="center" wrapText="1"/>
    </xf>
    <xf numFmtId="49" fontId="23" fillId="0" borderId="36" xfId="0" applyNumberFormat="1" applyFont="1" applyFill="1" applyBorder="1" applyAlignment="1">
      <alignment horizontal="center" vertical="center" wrapText="1"/>
    </xf>
    <xf numFmtId="0" fontId="23" fillId="0" borderId="34" xfId="0" applyFont="1" applyFill="1" applyBorder="1" applyAlignment="1">
      <alignment vertical="center"/>
    </xf>
    <xf numFmtId="2" fontId="23" fillId="27" borderId="15" xfId="0" applyNumberFormat="1" applyFont="1" applyFill="1" applyBorder="1" applyAlignment="1">
      <alignment horizontal="center" vertical="center" wrapText="1"/>
    </xf>
    <xf numFmtId="2" fontId="23" fillId="27" borderId="43" xfId="0" applyNumberFormat="1" applyFont="1" applyFill="1" applyBorder="1" applyAlignment="1">
      <alignment horizontal="center" vertical="center" wrapText="1"/>
    </xf>
    <xf numFmtId="49" fontId="35" fillId="27" borderId="36" xfId="0" applyNumberFormat="1" applyFont="1" applyFill="1" applyBorder="1" applyAlignment="1">
      <alignment horizontal="center" vertical="center" wrapText="1"/>
    </xf>
    <xf numFmtId="49" fontId="35" fillId="27" borderId="34" xfId="0" applyNumberFormat="1" applyFont="1" applyFill="1" applyBorder="1" applyAlignment="1">
      <alignment horizontal="center" vertical="center" wrapText="1"/>
    </xf>
    <xf numFmtId="49" fontId="35" fillId="27" borderId="47" xfId="0" applyNumberFormat="1" applyFont="1" applyFill="1" applyBorder="1" applyAlignment="1">
      <alignment horizontal="center" vertical="center" wrapText="1"/>
    </xf>
    <xf numFmtId="164" fontId="23" fillId="0" borderId="41" xfId="0" applyNumberFormat="1" applyFont="1" applyFill="1" applyBorder="1" applyAlignment="1">
      <alignment horizontal="center" vertical="center"/>
    </xf>
    <xf numFmtId="164" fontId="23" fillId="0" borderId="22" xfId="0" applyNumberFormat="1" applyFont="1" applyFill="1" applyBorder="1" applyAlignment="1">
      <alignment horizontal="center" vertical="center"/>
    </xf>
    <xf numFmtId="0" fontId="23" fillId="27" borderId="47" xfId="0" applyFont="1" applyFill="1" applyBorder="1" applyAlignment="1">
      <alignment vertical="center"/>
    </xf>
    <xf numFmtId="0" fontId="23" fillId="0" borderId="11" xfId="0" applyFont="1" applyFill="1" applyBorder="1" applyAlignment="1">
      <alignment horizontal="center" vertical="center" wrapText="1"/>
    </xf>
    <xf numFmtId="0" fontId="23" fillId="0" borderId="31" xfId="0" applyFont="1" applyFill="1" applyBorder="1" applyAlignment="1">
      <alignment horizontal="center" vertical="center" wrapText="1"/>
    </xf>
    <xf numFmtId="0" fontId="23" fillId="0" borderId="29"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48" xfId="0" applyFont="1" applyFill="1" applyBorder="1" applyAlignment="1">
      <alignment horizontal="center" vertical="center" wrapText="1"/>
    </xf>
    <xf numFmtId="49" fontId="23" fillId="0" borderId="34" xfId="0" applyNumberFormat="1" applyFont="1" applyFill="1" applyBorder="1" applyAlignment="1">
      <alignment horizontal="center" vertical="center" wrapText="1"/>
    </xf>
    <xf numFmtId="49" fontId="23" fillId="0" borderId="47" xfId="0" applyNumberFormat="1" applyFont="1" applyFill="1" applyBorder="1" applyAlignment="1">
      <alignment horizontal="center" vertical="center" wrapText="1"/>
    </xf>
    <xf numFmtId="49" fontId="23" fillId="0" borderId="15" xfId="0" applyNumberFormat="1"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49" fontId="23" fillId="0" borderId="43" xfId="0" applyNumberFormat="1" applyFont="1" applyFill="1" applyBorder="1" applyAlignment="1">
      <alignment horizontal="center" vertical="center" wrapText="1"/>
    </xf>
    <xf numFmtId="49" fontId="35" fillId="0" borderId="47" xfId="0" applyNumberFormat="1" applyFont="1" applyFill="1" applyBorder="1" applyAlignment="1">
      <alignment horizontal="center" vertical="center" wrapText="1"/>
    </xf>
    <xf numFmtId="49" fontId="35" fillId="0" borderId="43" xfId="0" applyNumberFormat="1" applyFont="1" applyFill="1" applyBorder="1" applyAlignment="1">
      <alignment horizontal="center" vertical="center" wrapText="1"/>
    </xf>
    <xf numFmtId="49" fontId="35" fillId="0" borderId="24" xfId="0" applyNumberFormat="1" applyFont="1" applyFill="1" applyBorder="1" applyAlignment="1">
      <alignment horizontal="center" vertical="center" wrapText="1"/>
    </xf>
    <xf numFmtId="49" fontId="35" fillId="0" borderId="44" xfId="0" applyNumberFormat="1" applyFont="1" applyFill="1" applyBorder="1" applyAlignment="1">
      <alignment horizontal="center" vertical="center" wrapText="1"/>
    </xf>
    <xf numFmtId="49" fontId="23" fillId="0" borderId="24" xfId="0" applyNumberFormat="1" applyFont="1" applyFill="1" applyBorder="1" applyAlignment="1">
      <alignment horizontal="center" vertical="center" wrapText="1"/>
    </xf>
    <xf numFmtId="49" fontId="23" fillId="0" borderId="30" xfId="0" applyNumberFormat="1" applyFont="1" applyFill="1" applyBorder="1" applyAlignment="1">
      <alignment horizontal="center" vertical="center" wrapText="1"/>
    </xf>
    <xf numFmtId="49" fontId="23" fillId="0" borderId="44" xfId="0" applyNumberFormat="1" applyFont="1" applyFill="1" applyBorder="1" applyAlignment="1">
      <alignment horizontal="center" vertical="center" wrapText="1"/>
    </xf>
    <xf numFmtId="0" fontId="23" fillId="0" borderId="15" xfId="189" applyFont="1" applyFill="1" applyBorder="1" applyAlignment="1">
      <alignment horizontal="center" vertical="center" wrapText="1"/>
    </xf>
    <xf numFmtId="0" fontId="23" fillId="0" borderId="12" xfId="189" applyFont="1" applyFill="1" applyBorder="1" applyAlignment="1">
      <alignment horizontal="center" vertical="center" wrapText="1"/>
    </xf>
    <xf numFmtId="0" fontId="23" fillId="0" borderId="43" xfId="189" applyFont="1" applyFill="1" applyBorder="1" applyAlignment="1">
      <alignment horizontal="center" vertical="center" wrapText="1"/>
    </xf>
    <xf numFmtId="0" fontId="23" fillId="0" borderId="24" xfId="189" applyFont="1" applyFill="1" applyBorder="1" applyAlignment="1">
      <alignment horizontal="center" vertical="center" wrapText="1"/>
    </xf>
    <xf numFmtId="0" fontId="23" fillId="0" borderId="30" xfId="189" applyFont="1" applyFill="1" applyBorder="1" applyAlignment="1">
      <alignment horizontal="center" vertical="center" wrapText="1"/>
    </xf>
    <xf numFmtId="0" fontId="23" fillId="0" borderId="44" xfId="189" applyFont="1" applyFill="1" applyBorder="1" applyAlignment="1">
      <alignment horizontal="center" vertical="center" wrapText="1"/>
    </xf>
    <xf numFmtId="0" fontId="23" fillId="0" borderId="13" xfId="189" applyFont="1" applyFill="1" applyBorder="1" applyAlignment="1">
      <alignment horizontal="center" vertical="center" wrapText="1"/>
    </xf>
    <xf numFmtId="0" fontId="23" fillId="0" borderId="0" xfId="189" applyFont="1" applyFill="1" applyBorder="1" applyAlignment="1">
      <alignment horizontal="center" vertical="center" wrapText="1"/>
    </xf>
    <xf numFmtId="0" fontId="23" fillId="0" borderId="48" xfId="189" applyFont="1" applyFill="1" applyBorder="1" applyAlignment="1">
      <alignment horizontal="center" vertical="center" wrapText="1"/>
    </xf>
    <xf numFmtId="0" fontId="23" fillId="68" borderId="31" xfId="0" applyFont="1" applyFill="1" applyBorder="1" applyAlignment="1">
      <alignment horizontal="center" vertical="center" wrapText="1"/>
    </xf>
    <xf numFmtId="0" fontId="23" fillId="0" borderId="38" xfId="0" applyFont="1" applyFill="1" applyBorder="1" applyAlignment="1">
      <alignment horizontal="center" vertical="center"/>
    </xf>
    <xf numFmtId="0" fontId="23" fillId="0" borderId="36" xfId="189" applyFont="1" applyBorder="1" applyAlignment="1">
      <alignment horizontal="center" vertical="center" wrapText="1"/>
    </xf>
    <xf numFmtId="0" fontId="23" fillId="0" borderId="47" xfId="189" applyFont="1" applyBorder="1" applyAlignment="1">
      <alignment horizontal="center" vertical="center" wrapText="1"/>
    </xf>
    <xf numFmtId="0" fontId="23" fillId="0" borderId="24" xfId="189" applyFont="1" applyBorder="1" applyAlignment="1">
      <alignment horizontal="center" vertical="center" wrapText="1"/>
    </xf>
    <xf numFmtId="0" fontId="23" fillId="0" borderId="44" xfId="189" applyFont="1" applyBorder="1" applyAlignment="1">
      <alignment horizontal="center" vertical="center" wrapText="1"/>
    </xf>
    <xf numFmtId="0" fontId="23" fillId="0" borderId="36" xfId="189" applyFont="1" applyFill="1" applyBorder="1" applyAlignment="1">
      <alignment horizontal="center" vertical="center" wrapText="1"/>
    </xf>
    <xf numFmtId="0" fontId="23" fillId="0" borderId="47" xfId="189" applyFont="1" applyFill="1" applyBorder="1" applyAlignment="1">
      <alignment horizontal="center" vertical="center" wrapText="1"/>
    </xf>
    <xf numFmtId="0" fontId="24" fillId="0" borderId="0" xfId="0" applyFont="1" applyFill="1" applyAlignment="1">
      <alignment horizontal="center" vertical="center"/>
    </xf>
    <xf numFmtId="0" fontId="23" fillId="0" borderId="0" xfId="0" applyFont="1" applyFill="1" applyAlignment="1">
      <alignment horizontal="center" vertical="center"/>
    </xf>
    <xf numFmtId="0" fontId="23" fillId="0" borderId="36" xfId="0" applyFont="1" applyFill="1" applyBorder="1" applyAlignment="1">
      <alignment horizontal="center" vertical="center"/>
    </xf>
    <xf numFmtId="0" fontId="23" fillId="0" borderId="34" xfId="0" applyFont="1" applyFill="1" applyBorder="1" applyAlignment="1">
      <alignment horizontal="center" vertical="center"/>
    </xf>
    <xf numFmtId="0" fontId="23" fillId="69" borderId="15" xfId="0" applyFont="1" applyFill="1" applyBorder="1" applyAlignment="1">
      <alignment horizontal="center" vertical="center" wrapText="1"/>
    </xf>
    <xf numFmtId="0" fontId="23" fillId="69" borderId="12" xfId="0" applyFont="1" applyFill="1" applyBorder="1" applyAlignment="1">
      <alignment horizontal="center" vertical="center" wrapText="1"/>
    </xf>
    <xf numFmtId="0" fontId="23" fillId="69" borderId="43" xfId="0" applyFont="1" applyFill="1" applyBorder="1" applyAlignment="1">
      <alignment horizontal="center" vertical="center" wrapText="1"/>
    </xf>
    <xf numFmtId="0" fontId="23" fillId="69" borderId="24" xfId="0" applyFont="1" applyFill="1" applyBorder="1" applyAlignment="1">
      <alignment horizontal="center" vertical="center" wrapText="1"/>
    </xf>
    <xf numFmtId="0" fontId="23" fillId="69" borderId="30" xfId="0" applyFont="1" applyFill="1" applyBorder="1" applyAlignment="1">
      <alignment horizontal="center" vertical="center" wrapText="1"/>
    </xf>
    <xf numFmtId="0" fontId="23" fillId="69" borderId="44" xfId="0" applyFont="1" applyFill="1" applyBorder="1" applyAlignment="1">
      <alignment horizontal="center" vertical="center" wrapText="1"/>
    </xf>
    <xf numFmtId="0" fontId="23" fillId="0" borderId="34" xfId="189" applyFont="1" applyFill="1" applyBorder="1" applyAlignment="1">
      <alignment horizontal="center" vertical="center" wrapText="1"/>
    </xf>
    <xf numFmtId="0" fontId="23" fillId="69" borderId="36" xfId="0" applyFont="1" applyFill="1" applyBorder="1" applyAlignment="1">
      <alignment horizontal="center" vertical="center"/>
    </xf>
    <xf numFmtId="0" fontId="23" fillId="69" borderId="34" xfId="0" applyFont="1" applyFill="1" applyBorder="1" applyAlignment="1">
      <alignment horizontal="center" vertical="center"/>
    </xf>
    <xf numFmtId="0" fontId="23" fillId="0" borderId="0" xfId="0" applyFont="1" applyFill="1" applyBorder="1" applyAlignment="1">
      <alignment horizontal="center" vertical="center" wrapText="1"/>
    </xf>
    <xf numFmtId="0" fontId="20" fillId="68" borderId="41" xfId="0" applyFont="1" applyFill="1" applyBorder="1" applyAlignment="1">
      <alignment horizontal="center" vertical="center"/>
    </xf>
    <xf numFmtId="0" fontId="20" fillId="68" borderId="40" xfId="0" applyFont="1" applyFill="1" applyBorder="1" applyAlignment="1">
      <alignment horizontal="center" vertical="center"/>
    </xf>
    <xf numFmtId="0" fontId="20" fillId="0" borderId="41" xfId="0" applyFont="1" applyFill="1" applyBorder="1" applyAlignment="1">
      <alignment horizontal="center" vertical="center" wrapText="1"/>
    </xf>
    <xf numFmtId="0" fontId="20" fillId="0" borderId="40" xfId="0" applyFont="1" applyFill="1" applyBorder="1" applyAlignment="1">
      <alignment horizontal="center" vertical="center" wrapText="1"/>
    </xf>
    <xf numFmtId="0" fontId="20" fillId="68" borderId="41" xfId="0" quotePrefix="1" applyFont="1" applyFill="1" applyBorder="1" applyAlignment="1">
      <alignment horizontal="center" vertical="center"/>
    </xf>
    <xf numFmtId="0" fontId="20" fillId="68" borderId="40" xfId="0" quotePrefix="1" applyFont="1" applyFill="1" applyBorder="1" applyAlignment="1">
      <alignment horizontal="center" vertical="center"/>
    </xf>
    <xf numFmtId="0" fontId="20" fillId="0" borderId="41" xfId="0" applyNumberFormat="1" applyFont="1" applyFill="1" applyBorder="1" applyAlignment="1">
      <alignment horizontal="center" vertical="center" wrapText="1"/>
    </xf>
    <xf numFmtId="0" fontId="20" fillId="0" borderId="40" xfId="0" applyNumberFormat="1" applyFont="1" applyFill="1" applyBorder="1" applyAlignment="1">
      <alignment horizontal="center" vertical="center" wrapText="1"/>
    </xf>
    <xf numFmtId="0" fontId="18" fillId="0" borderId="39" xfId="0" applyFont="1" applyFill="1" applyBorder="1" applyAlignment="1">
      <alignment horizontal="center" vertical="center" wrapText="1"/>
    </xf>
    <xf numFmtId="0" fontId="20" fillId="68" borderId="38" xfId="0" quotePrefix="1" applyFont="1" applyFill="1" applyBorder="1" applyAlignment="1">
      <alignment horizontal="center" vertical="center"/>
    </xf>
    <xf numFmtId="0" fontId="18" fillId="0" borderId="53" xfId="0" applyFont="1" applyFill="1" applyBorder="1" applyAlignment="1">
      <alignment horizontal="center" vertical="center" wrapText="1"/>
    </xf>
    <xf numFmtId="0" fontId="20" fillId="0" borderId="39" xfId="0" applyFont="1" applyFill="1" applyBorder="1" applyAlignment="1">
      <alignment horizontal="center" vertical="center" wrapText="1"/>
    </xf>
    <xf numFmtId="0" fontId="20" fillId="0" borderId="52" xfId="0" applyFont="1" applyFill="1" applyBorder="1" applyAlignment="1">
      <alignment horizontal="center" vertical="center" wrapText="1"/>
    </xf>
    <xf numFmtId="0" fontId="20" fillId="0" borderId="42" xfId="0" applyFont="1" applyFill="1" applyBorder="1" applyAlignment="1">
      <alignment horizontal="center" vertical="center" wrapText="1"/>
    </xf>
    <xf numFmtId="0" fontId="20" fillId="68" borderId="38" xfId="0" applyFont="1" applyFill="1" applyBorder="1" applyAlignment="1">
      <alignment horizontal="center" vertical="center"/>
    </xf>
    <xf numFmtId="0" fontId="20" fillId="0" borderId="38" xfId="0" applyFont="1" applyFill="1" applyBorder="1" applyAlignment="1">
      <alignment horizontal="center" vertical="center" wrapText="1"/>
    </xf>
    <xf numFmtId="0" fontId="8" fillId="0" borderId="39" xfId="0" applyNumberFormat="1" applyFont="1" applyFill="1" applyBorder="1" applyAlignment="1">
      <alignment horizontal="center" vertical="center" wrapText="1"/>
    </xf>
    <xf numFmtId="0" fontId="8" fillId="27" borderId="53" xfId="0" applyFont="1" applyFill="1" applyBorder="1" applyAlignment="1">
      <alignment horizontal="center" vertical="center" wrapText="1"/>
    </xf>
    <xf numFmtId="0" fontId="8" fillId="27" borderId="54" xfId="0" applyFont="1" applyFill="1" applyBorder="1" applyAlignment="1">
      <alignment horizontal="center" vertical="center" wrapText="1"/>
    </xf>
    <xf numFmtId="0" fontId="18" fillId="68" borderId="38" xfId="0" applyFont="1" applyFill="1" applyBorder="1" applyAlignment="1">
      <alignment horizontal="center" vertical="center"/>
    </xf>
    <xf numFmtId="0" fontId="18" fillId="68" borderId="38" xfId="0" quotePrefix="1" applyFont="1" applyFill="1" applyBorder="1" applyAlignment="1">
      <alignment horizontal="center" vertical="center"/>
    </xf>
    <xf numFmtId="0" fontId="8" fillId="0" borderId="53" xfId="0" applyNumberFormat="1" applyFont="1" applyFill="1" applyBorder="1" applyAlignment="1">
      <alignment horizontal="center" vertical="center" wrapText="1"/>
    </xf>
    <xf numFmtId="0" fontId="8" fillId="0" borderId="54" xfId="0" applyNumberFormat="1"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29" fillId="0" borderId="41" xfId="0" applyFont="1" applyFill="1" applyBorder="1" applyAlignment="1">
      <alignment horizontal="center" vertical="center" wrapText="1"/>
    </xf>
    <xf numFmtId="0" fontId="29" fillId="0" borderId="40" xfId="0" applyFont="1" applyFill="1" applyBorder="1" applyAlignment="1">
      <alignment horizontal="center" vertical="center" wrapText="1"/>
    </xf>
    <xf numFmtId="0" fontId="8" fillId="0" borderId="53" xfId="0" applyFont="1" applyFill="1" applyBorder="1" applyAlignment="1">
      <alignment horizontal="center" vertical="center" wrapText="1"/>
    </xf>
    <xf numFmtId="0" fontId="20" fillId="68" borderId="22" xfId="0" quotePrefix="1" applyFont="1" applyFill="1" applyBorder="1" applyAlignment="1">
      <alignment horizontal="center" vertical="center"/>
    </xf>
    <xf numFmtId="0" fontId="8" fillId="0" borderId="54" xfId="0" applyFont="1" applyFill="1" applyBorder="1" applyAlignment="1">
      <alignment horizontal="center" vertical="center" wrapText="1"/>
    </xf>
    <xf numFmtId="0" fontId="8" fillId="0" borderId="55"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8" fillId="27" borderId="35" xfId="0" applyFont="1" applyFill="1" applyBorder="1" applyAlignment="1">
      <alignment horizontal="center" vertical="center" wrapText="1"/>
    </xf>
    <xf numFmtId="0" fontId="8" fillId="27" borderId="55" xfId="0" applyFont="1" applyFill="1" applyBorder="1" applyAlignment="1">
      <alignment horizontal="center" vertical="center" wrapText="1"/>
    </xf>
    <xf numFmtId="0" fontId="8" fillId="27" borderId="32" xfId="0" applyFont="1" applyFill="1" applyBorder="1" applyAlignment="1">
      <alignment horizontal="center" vertical="center" wrapText="1"/>
    </xf>
    <xf numFmtId="0" fontId="8" fillId="27" borderId="38" xfId="0" applyFont="1" applyFill="1" applyBorder="1" applyAlignment="1">
      <alignment horizontal="center" vertical="center" wrapText="1"/>
    </xf>
    <xf numFmtId="0" fontId="29" fillId="0" borderId="38" xfId="0" applyFont="1" applyFill="1" applyBorder="1" applyAlignment="1">
      <alignment horizontal="center" vertical="center" wrapText="1"/>
    </xf>
    <xf numFmtId="0" fontId="23" fillId="0" borderId="0" xfId="0" applyFont="1" applyAlignment="1">
      <alignment horizontal="center" wrapText="1"/>
    </xf>
    <xf numFmtId="0" fontId="122" fillId="0" borderId="0" xfId="0" applyFont="1" applyAlignment="1">
      <alignment horizontal="center"/>
    </xf>
    <xf numFmtId="0" fontId="23" fillId="0" borderId="38" xfId="0" applyNumberFormat="1" applyFont="1" applyFill="1" applyBorder="1" applyAlignment="1">
      <alignment horizontal="center" vertical="center" wrapText="1"/>
    </xf>
    <xf numFmtId="0" fontId="23" fillId="25" borderId="41" xfId="0" applyFont="1" applyFill="1" applyBorder="1" applyAlignment="1">
      <alignment horizontal="center" vertical="center"/>
    </xf>
    <xf numFmtId="0" fontId="23" fillId="25" borderId="40" xfId="0" applyFont="1" applyFill="1" applyBorder="1" applyAlignment="1">
      <alignment horizontal="center" vertical="center"/>
    </xf>
    <xf numFmtId="0" fontId="23" fillId="0" borderId="38" xfId="0" applyFont="1" applyBorder="1" applyAlignment="1">
      <alignment horizontal="center" vertical="center" wrapText="1"/>
    </xf>
    <xf numFmtId="0" fontId="23" fillId="70" borderId="38" xfId="0" applyNumberFormat="1" applyFont="1" applyFill="1" applyBorder="1" applyAlignment="1">
      <alignment horizontal="center" vertical="center" wrapText="1"/>
    </xf>
    <xf numFmtId="0" fontId="23" fillId="25" borderId="22" xfId="0" applyFont="1" applyFill="1" applyBorder="1" applyAlignment="1">
      <alignment horizontal="center" vertical="center"/>
    </xf>
    <xf numFmtId="0" fontId="23" fillId="0" borderId="38" xfId="0" applyNumberFormat="1" applyFont="1" applyBorder="1" applyAlignment="1">
      <alignment horizontal="center" vertical="center" wrapText="1"/>
    </xf>
    <xf numFmtId="0" fontId="23" fillId="70" borderId="38" xfId="0" applyFont="1" applyFill="1" applyBorder="1" applyAlignment="1">
      <alignment horizontal="center" vertical="center" wrapText="1"/>
    </xf>
    <xf numFmtId="0" fontId="23" fillId="70" borderId="39" xfId="0" applyFont="1" applyFill="1" applyBorder="1" applyAlignment="1">
      <alignment horizontal="center" vertical="center" wrapText="1"/>
    </xf>
    <xf numFmtId="0" fontId="23" fillId="68" borderId="38" xfId="0" applyFont="1" applyFill="1" applyBorder="1" applyAlignment="1">
      <alignment horizontal="center" vertical="center" wrapText="1"/>
    </xf>
    <xf numFmtId="0" fontId="23" fillId="0" borderId="41" xfId="0" applyFont="1" applyBorder="1" applyAlignment="1">
      <alignment horizontal="center" vertical="center" wrapText="1"/>
    </xf>
    <xf numFmtId="0" fontId="23" fillId="0" borderId="40" xfId="0" applyFont="1" applyBorder="1" applyAlignment="1">
      <alignment horizontal="center" vertical="center" wrapText="1"/>
    </xf>
    <xf numFmtId="0" fontId="8" fillId="0" borderId="15"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8" fillId="27" borderId="34" xfId="0" applyFont="1" applyFill="1" applyBorder="1" applyAlignment="1">
      <alignment horizontal="center" vertical="center" wrapText="1"/>
    </xf>
    <xf numFmtId="0" fontId="8" fillId="27" borderId="47" xfId="0" applyFont="1" applyFill="1" applyBorder="1" applyAlignment="1">
      <alignment horizontal="center" vertical="center" wrapText="1"/>
    </xf>
    <xf numFmtId="0" fontId="8" fillId="27" borderId="11" xfId="0" applyFont="1" applyFill="1" applyBorder="1" applyAlignment="1">
      <alignment horizontal="center" vertical="center" wrapText="1"/>
    </xf>
    <xf numFmtId="0" fontId="8" fillId="27" borderId="29" xfId="0" applyFont="1" applyFill="1" applyBorder="1" applyAlignment="1">
      <alignment horizontal="center" vertical="center" wrapText="1"/>
    </xf>
    <xf numFmtId="0" fontId="8" fillId="27" borderId="36"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8" fillId="0" borderId="47" xfId="0" applyFont="1" applyFill="1" applyBorder="1" applyAlignment="1">
      <alignment horizontal="center" vertical="center" wrapText="1"/>
    </xf>
    <xf numFmtId="0" fontId="8" fillId="0" borderId="43" xfId="0" applyFont="1" applyFill="1" applyBorder="1" applyAlignment="1">
      <alignment horizontal="center" vertical="center" wrapText="1"/>
    </xf>
    <xf numFmtId="0" fontId="8" fillId="0" borderId="44"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8" fillId="0" borderId="29"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22" xfId="0" applyFont="1" applyBorder="1" applyAlignment="1">
      <alignment horizontal="left" wrapText="1"/>
    </xf>
    <xf numFmtId="0" fontId="3" fillId="0" borderId="38" xfId="0" applyFont="1" applyBorder="1" applyAlignment="1">
      <alignment horizontal="center"/>
    </xf>
    <xf numFmtId="0" fontId="7" fillId="0" borderId="22" xfId="0" applyFont="1" applyFill="1" applyBorder="1" applyAlignment="1">
      <alignment horizontal="left" wrapText="1"/>
    </xf>
    <xf numFmtId="0" fontId="8" fillId="27" borderId="31"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0" borderId="30"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40" xfId="0" applyFont="1" applyFill="1" applyBorder="1" applyAlignment="1">
      <alignment horizontal="center" vertical="center" wrapText="1"/>
    </xf>
    <xf numFmtId="0" fontId="17" fillId="0" borderId="41" xfId="0" applyFont="1" applyFill="1" applyBorder="1" applyAlignment="1">
      <alignment horizontal="center" vertical="center" wrapText="1"/>
    </xf>
    <xf numFmtId="0" fontId="17" fillId="0" borderId="40"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18" fillId="0" borderId="31" xfId="0" applyFont="1" applyFill="1" applyBorder="1" applyAlignment="1">
      <alignment horizontal="center" vertical="center" wrapText="1"/>
    </xf>
    <xf numFmtId="0" fontId="18" fillId="0" borderId="36" xfId="0" applyFont="1" applyFill="1" applyBorder="1" applyAlignment="1">
      <alignment horizontal="center" vertical="center" wrapText="1"/>
    </xf>
    <xf numFmtId="0" fontId="18" fillId="0" borderId="47"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18" fillId="0" borderId="30"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5" fillId="0" borderId="36"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47" xfId="0" applyFont="1" applyFill="1" applyBorder="1" applyAlignment="1">
      <alignment horizontal="center" vertical="center"/>
    </xf>
    <xf numFmtId="0" fontId="20" fillId="0" borderId="13" xfId="0" applyFont="1" applyFill="1" applyBorder="1" applyAlignment="1">
      <alignment horizontal="center" vertical="center" wrapText="1"/>
    </xf>
    <xf numFmtId="0" fontId="20" fillId="0" borderId="48"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44"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40" xfId="0" applyFont="1" applyFill="1" applyBorder="1" applyAlignment="1">
      <alignment horizontal="center" vertical="center" wrapText="1"/>
    </xf>
    <xf numFmtId="0" fontId="20" fillId="0" borderId="36" xfId="0" applyFont="1" applyFill="1" applyBorder="1" applyAlignment="1">
      <alignment horizontal="center" vertical="center" wrapText="1"/>
    </xf>
    <xf numFmtId="0" fontId="20" fillId="0" borderId="47" xfId="0" applyFont="1" applyFill="1" applyBorder="1" applyAlignment="1">
      <alignment horizontal="center" vertical="center" wrapText="1"/>
    </xf>
    <xf numFmtId="0" fontId="20" fillId="72" borderId="15" xfId="0" applyFont="1" applyFill="1" applyBorder="1" applyAlignment="1">
      <alignment horizontal="center" vertical="center" wrapText="1"/>
    </xf>
    <xf numFmtId="0" fontId="20" fillId="72" borderId="12" xfId="0" applyFont="1" applyFill="1" applyBorder="1" applyAlignment="1">
      <alignment horizontal="center" vertical="center" wrapText="1"/>
    </xf>
    <xf numFmtId="0" fontId="20" fillId="72" borderId="24" xfId="0" applyFont="1" applyFill="1" applyBorder="1" applyAlignment="1">
      <alignment horizontal="center" vertical="center" wrapText="1"/>
    </xf>
    <xf numFmtId="0" fontId="20" fillId="72" borderId="30"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43" xfId="0" applyFont="1" applyFill="1" applyBorder="1" applyAlignment="1">
      <alignment horizontal="center" vertical="center" wrapText="1"/>
    </xf>
    <xf numFmtId="0" fontId="18" fillId="0" borderId="29"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43"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48" xfId="0" applyFont="1" applyFill="1" applyBorder="1" applyAlignment="1">
      <alignment horizontal="center" vertical="center" wrapText="1"/>
    </xf>
    <xf numFmtId="0" fontId="17" fillId="0" borderId="44"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0" fillId="0" borderId="34" xfId="0" applyBorder="1"/>
    <xf numFmtId="0" fontId="0" fillId="0" borderId="38" xfId="0" applyFill="1" applyBorder="1" applyAlignment="1">
      <alignment horizontal="center"/>
    </xf>
    <xf numFmtId="0" fontId="1" fillId="0" borderId="38" xfId="0" applyFont="1" applyFill="1" applyBorder="1" applyAlignment="1">
      <alignment horizontal="center"/>
    </xf>
    <xf numFmtId="0" fontId="5" fillId="0" borderId="13"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17" fillId="0" borderId="36" xfId="0" applyFont="1" applyFill="1" applyBorder="1" applyAlignment="1">
      <alignment horizontal="center" vertical="center" wrapText="1"/>
    </xf>
    <xf numFmtId="0" fontId="17" fillId="0" borderId="34" xfId="0" applyFont="1" applyFill="1" applyBorder="1" applyAlignment="1">
      <alignment horizontal="center" vertical="center" wrapText="1"/>
    </xf>
    <xf numFmtId="0" fontId="17" fillId="0" borderId="47" xfId="0" applyFont="1" applyFill="1" applyBorder="1" applyAlignment="1">
      <alignment horizontal="center" vertical="center" wrapText="1"/>
    </xf>
    <xf numFmtId="0" fontId="0" fillId="0" borderId="47" xfId="0" applyBorder="1"/>
    <xf numFmtId="0" fontId="7" fillId="0" borderId="0" xfId="0" applyFont="1" applyFill="1" applyAlignment="1">
      <alignment horizontal="center" vertical="center"/>
    </xf>
    <xf numFmtId="0" fontId="12" fillId="0" borderId="0" xfId="0" applyFont="1" applyFill="1" applyAlignment="1">
      <alignment horizontal="center"/>
    </xf>
    <xf numFmtId="0" fontId="3" fillId="0" borderId="41" xfId="0" applyFont="1" applyBorder="1" applyAlignment="1">
      <alignment horizontal="center" vertical="center"/>
    </xf>
    <xf numFmtId="0" fontId="3" fillId="0" borderId="22" xfId="0" applyFont="1" applyBorder="1" applyAlignment="1">
      <alignment horizontal="center" vertical="center"/>
    </xf>
    <xf numFmtId="0" fontId="3" fillId="0" borderId="40" xfId="0" applyFont="1" applyBorder="1" applyAlignment="1">
      <alignment horizontal="center" vertical="center"/>
    </xf>
    <xf numFmtId="0" fontId="3" fillId="0" borderId="38" xfId="0" applyFont="1" applyBorder="1" applyAlignment="1">
      <alignment horizontal="center" vertical="center" wrapText="1"/>
    </xf>
    <xf numFmtId="0" fontId="5" fillId="0" borderId="0" xfId="0" applyFont="1" applyAlignment="1">
      <alignment horizontal="center" vertical="center"/>
    </xf>
    <xf numFmtId="0" fontId="27" fillId="0" borderId="0" xfId="0" applyFont="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wrapText="1"/>
    </xf>
    <xf numFmtId="0" fontId="3" fillId="0" borderId="42" xfId="0" applyFont="1" applyBorder="1" applyAlignment="1">
      <alignment horizontal="center" vertical="center" wrapText="1"/>
    </xf>
    <xf numFmtId="0" fontId="7" fillId="0" borderId="0" xfId="0" applyFont="1" applyAlignment="1">
      <alignment horizontal="center"/>
    </xf>
    <xf numFmtId="0" fontId="12" fillId="0" borderId="0" xfId="0" applyFont="1" applyAlignment="1">
      <alignment horizontal="center"/>
    </xf>
    <xf numFmtId="0" fontId="7" fillId="29" borderId="0" xfId="0" applyFont="1" applyFill="1" applyAlignment="1">
      <alignment horizontal="center"/>
    </xf>
    <xf numFmtId="49" fontId="32" fillId="0" borderId="38" xfId="0" applyNumberFormat="1" applyFont="1" applyBorder="1" applyAlignment="1">
      <alignment horizontal="center" vertical="center" wrapText="1"/>
    </xf>
    <xf numFmtId="165" fontId="29" fillId="0" borderId="0" xfId="205" applyNumberFormat="1" applyFont="1" applyAlignment="1">
      <alignment horizontal="center" vertical="center"/>
    </xf>
    <xf numFmtId="0" fontId="29" fillId="0" borderId="0" xfId="0" applyFont="1" applyAlignment="1">
      <alignment horizontal="center" vertical="center"/>
    </xf>
    <xf numFmtId="0" fontId="31" fillId="0" borderId="0" xfId="0" applyFont="1" applyAlignment="1">
      <alignment horizontal="center" vertical="center"/>
    </xf>
    <xf numFmtId="0" fontId="5" fillId="29" borderId="0" xfId="0" applyFont="1" applyFill="1" applyAlignment="1">
      <alignment horizontal="center" vertical="center" wrapText="1"/>
    </xf>
    <xf numFmtId="164" fontId="29" fillId="0" borderId="38" xfId="205" applyFont="1" applyBorder="1" applyAlignment="1">
      <alignment horizontal="center" vertical="center"/>
    </xf>
    <xf numFmtId="164" fontId="29" fillId="0" borderId="41" xfId="205" applyFont="1" applyBorder="1" applyAlignment="1">
      <alignment horizontal="center" vertical="center"/>
    </xf>
    <xf numFmtId="164" fontId="29" fillId="0" borderId="40" xfId="205" applyFont="1" applyBorder="1" applyAlignment="1">
      <alignment horizontal="center" vertical="center"/>
    </xf>
    <xf numFmtId="164" fontId="29" fillId="0" borderId="85" xfId="205" applyFont="1" applyBorder="1" applyAlignment="1">
      <alignment horizontal="center" vertical="center" wrapText="1"/>
    </xf>
    <xf numFmtId="164" fontId="29" fillId="0" borderId="86" xfId="205" applyFont="1" applyBorder="1" applyAlignment="1">
      <alignment horizontal="center" vertical="center" wrapText="1"/>
    </xf>
    <xf numFmtId="164" fontId="29" fillId="0" borderId="35" xfId="205" applyFont="1" applyBorder="1" applyAlignment="1">
      <alignment horizontal="center" vertical="center"/>
    </xf>
    <xf numFmtId="164" fontId="32" fillId="0" borderId="38" xfId="205" applyFont="1" applyBorder="1" applyAlignment="1">
      <alignment horizontal="center" vertical="center" wrapText="1"/>
    </xf>
    <xf numFmtId="0" fontId="7" fillId="0" borderId="38" xfId="0" applyFont="1" applyBorder="1" applyAlignment="1">
      <alignment horizontal="center" vertical="center"/>
    </xf>
    <xf numFmtId="0" fontId="5" fillId="29" borderId="0" xfId="0" applyFont="1" applyFill="1" applyAlignment="1">
      <alignment horizontal="center" vertical="center"/>
    </xf>
    <xf numFmtId="0" fontId="7" fillId="0" borderId="0" xfId="0" applyFont="1" applyAlignment="1">
      <alignment horizontal="center" vertical="center"/>
    </xf>
    <xf numFmtId="0" fontId="18" fillId="0" borderId="12"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18" fillId="72" borderId="11" xfId="0" applyFont="1" applyFill="1" applyBorder="1" applyAlignment="1">
      <alignment horizontal="center" vertical="center"/>
    </xf>
    <xf numFmtId="0" fontId="18" fillId="72" borderId="31" xfId="0" applyFont="1" applyFill="1" applyBorder="1" applyAlignment="1">
      <alignment horizontal="center" vertical="center"/>
    </xf>
    <xf numFmtId="0" fontId="18" fillId="72" borderId="29" xfId="0" applyFont="1" applyFill="1" applyBorder="1" applyAlignment="1">
      <alignment horizontal="center" vertical="center"/>
    </xf>
  </cellXfs>
  <cellStyles count="212">
    <cellStyle name="20% - Акцент1" xfId="1" builtinId="30" customBuiltin="1"/>
    <cellStyle name="20% - Акцент1 2" xfId="2"/>
    <cellStyle name="20% - Акцент2" xfId="3" builtinId="34" customBuiltin="1"/>
    <cellStyle name="20% - Акцент2 2" xfId="4"/>
    <cellStyle name="20% - Акцент3" xfId="5" builtinId="38" customBuiltin="1"/>
    <cellStyle name="20% - Акцент3 2" xfId="6"/>
    <cellStyle name="20% - Акцент4" xfId="7" builtinId="42" customBuiltin="1"/>
    <cellStyle name="20% - Акцент4 2" xfId="8"/>
    <cellStyle name="20% - Акцент5" xfId="9" builtinId="46" customBuiltin="1"/>
    <cellStyle name="20% - Акцент5 2" xfId="10"/>
    <cellStyle name="20% - Акцент6" xfId="11" builtinId="50" customBuiltin="1"/>
    <cellStyle name="20% - Акцент6 2" xfId="12"/>
    <cellStyle name="40% - Акцент1" xfId="13" builtinId="31" customBuiltin="1"/>
    <cellStyle name="40% - Акцент1 2" xfId="14"/>
    <cellStyle name="40% - Акцент2" xfId="15" builtinId="35" customBuiltin="1"/>
    <cellStyle name="40% - Акцент2 2" xfId="16"/>
    <cellStyle name="40% - Акцент3" xfId="17" builtinId="39" customBuiltin="1"/>
    <cellStyle name="40% - Акцент3 2" xfId="18"/>
    <cellStyle name="40% - Акцент4" xfId="19" builtinId="43" customBuiltin="1"/>
    <cellStyle name="40% - Акцент4 2" xfId="20"/>
    <cellStyle name="40% - Акцент5" xfId="21" builtinId="47" customBuiltin="1"/>
    <cellStyle name="40% - Акцент5 2" xfId="22"/>
    <cellStyle name="40% - Акцент6" xfId="23" builtinId="51" customBuiltin="1"/>
    <cellStyle name="40% - Акцент6 2" xfId="24"/>
    <cellStyle name="60% - Акцент1" xfId="25" builtinId="32" customBuiltin="1"/>
    <cellStyle name="60% - Акцент1 2" xfId="26"/>
    <cellStyle name="60% - Акцент2" xfId="27" builtinId="36" customBuiltin="1"/>
    <cellStyle name="60% - Акцент2 2" xfId="28"/>
    <cellStyle name="60% - Акцент3" xfId="29" builtinId="40" customBuiltin="1"/>
    <cellStyle name="60% - Акцент3 2" xfId="30"/>
    <cellStyle name="60% - Акцент4" xfId="31" builtinId="44" customBuiltin="1"/>
    <cellStyle name="60% - Акцент4 2" xfId="32"/>
    <cellStyle name="60% - Акцент5" xfId="33" builtinId="48" customBuiltin="1"/>
    <cellStyle name="60% - Акцент5 2" xfId="34"/>
    <cellStyle name="60% - Акцент6" xfId="35" builtinId="52" customBuiltin="1"/>
    <cellStyle name="60% - Акцент6 2" xfId="36"/>
    <cellStyle name="br" xfId="37"/>
    <cellStyle name="col" xfId="38"/>
    <cellStyle name="ex57" xfId="39"/>
    <cellStyle name="ex58" xfId="210"/>
    <cellStyle name="ex59" xfId="40"/>
    <cellStyle name="ex63" xfId="209"/>
    <cellStyle name="ex66" xfId="41"/>
    <cellStyle name="ex68" xfId="208"/>
    <cellStyle name="st35" xfId="42"/>
    <cellStyle name="st36" xfId="43"/>
    <cellStyle name="st37" xfId="44"/>
    <cellStyle name="st38" xfId="45"/>
    <cellStyle name="st39" xfId="46"/>
    <cellStyle name="st39 2" xfId="47"/>
    <cellStyle name="st40" xfId="48"/>
    <cellStyle name="style0" xfId="49"/>
    <cellStyle name="td" xfId="50"/>
    <cellStyle name="tr" xfId="51"/>
    <cellStyle name="xl21" xfId="52"/>
    <cellStyle name="xl21 2" xfId="53"/>
    <cellStyle name="xl22" xfId="54"/>
    <cellStyle name="xl22 2" xfId="55"/>
    <cellStyle name="xl23" xfId="56"/>
    <cellStyle name="xl23 2" xfId="57"/>
    <cellStyle name="xl24" xfId="58"/>
    <cellStyle name="xl24 2" xfId="59"/>
    <cellStyle name="xl25" xfId="60"/>
    <cellStyle name="xl25 2" xfId="61"/>
    <cellStyle name="xl25 3" xfId="62"/>
    <cellStyle name="xl26" xfId="63"/>
    <cellStyle name="xl26 2" xfId="64"/>
    <cellStyle name="xl27" xfId="65"/>
    <cellStyle name="xl27 2" xfId="66"/>
    <cellStyle name="xl27 3" xfId="67"/>
    <cellStyle name="xl28" xfId="68"/>
    <cellStyle name="xl28 2" xfId="69"/>
    <cellStyle name="xl28 3" xfId="70"/>
    <cellStyle name="xl29" xfId="71"/>
    <cellStyle name="xl29 2" xfId="72"/>
    <cellStyle name="xl29 3" xfId="73"/>
    <cellStyle name="xl30" xfId="74"/>
    <cellStyle name="xl30 2" xfId="75"/>
    <cellStyle name="xl30 3" xfId="76"/>
    <cellStyle name="xl31" xfId="77"/>
    <cellStyle name="xl31 2" xfId="78"/>
    <cellStyle name="xl31 3" xfId="79"/>
    <cellStyle name="xl31 4" xfId="80"/>
    <cellStyle name="xl32" xfId="81"/>
    <cellStyle name="xl32 2" xfId="82"/>
    <cellStyle name="xl32 3" xfId="83"/>
    <cellStyle name="xl33" xfId="84"/>
    <cellStyle name="xl33 2" xfId="85"/>
    <cellStyle name="xl33 3" xfId="86"/>
    <cellStyle name="xl33 4" xfId="87"/>
    <cellStyle name="xl34" xfId="88"/>
    <cellStyle name="xl34 2" xfId="89"/>
    <cellStyle name="xl34 3" xfId="90"/>
    <cellStyle name="xl34 4" xfId="91"/>
    <cellStyle name="xl35" xfId="92"/>
    <cellStyle name="xl35 2" xfId="93"/>
    <cellStyle name="xl35 3" xfId="94"/>
    <cellStyle name="xl36" xfId="95"/>
    <cellStyle name="xl36 2" xfId="96"/>
    <cellStyle name="xl36 3" xfId="97"/>
    <cellStyle name="xl37" xfId="98"/>
    <cellStyle name="xl37 2" xfId="99"/>
    <cellStyle name="xl37 3" xfId="100"/>
    <cellStyle name="xl38" xfId="101"/>
    <cellStyle name="xl38 2" xfId="102"/>
    <cellStyle name="xl38 3" xfId="103"/>
    <cellStyle name="xl39" xfId="104"/>
    <cellStyle name="xl39 2" xfId="105"/>
    <cellStyle name="xl39 3" xfId="106"/>
    <cellStyle name="xl39 4" xfId="107"/>
    <cellStyle name="xl40" xfId="108"/>
    <cellStyle name="xl40 2" xfId="109"/>
    <cellStyle name="xl40 3" xfId="110"/>
    <cellStyle name="xl40 4" xfId="111"/>
    <cellStyle name="xl41" xfId="112"/>
    <cellStyle name="xl41 2" xfId="113"/>
    <cellStyle name="xl41 3" xfId="114"/>
    <cellStyle name="xl41 4" xfId="115"/>
    <cellStyle name="xl42" xfId="116"/>
    <cellStyle name="xl42 2" xfId="117"/>
    <cellStyle name="xl42 3" xfId="118"/>
    <cellStyle name="xl42 4" xfId="119"/>
    <cellStyle name="xl42 9" xfId="120"/>
    <cellStyle name="xl43" xfId="121"/>
    <cellStyle name="xl43 2" xfId="122"/>
    <cellStyle name="xl43 3" xfId="123"/>
    <cellStyle name="xl43 4" xfId="124"/>
    <cellStyle name="xl44" xfId="125"/>
    <cellStyle name="xl44 2" xfId="126"/>
    <cellStyle name="xl44 3" xfId="127"/>
    <cellStyle name="xl44 4" xfId="128"/>
    <cellStyle name="xl45" xfId="129"/>
    <cellStyle name="xl45 2" xfId="130"/>
    <cellStyle name="xl45 3" xfId="131"/>
    <cellStyle name="xl46" xfId="132"/>
    <cellStyle name="xl46 2" xfId="133"/>
    <cellStyle name="xl46 3" xfId="134"/>
    <cellStyle name="xl47" xfId="135"/>
    <cellStyle name="xl47 2" xfId="136"/>
    <cellStyle name="xl47 3" xfId="137"/>
    <cellStyle name="xl48" xfId="138"/>
    <cellStyle name="xl48 2" xfId="139"/>
    <cellStyle name="xl48 3" xfId="140"/>
    <cellStyle name="xl49" xfId="141"/>
    <cellStyle name="xl49 2" xfId="142"/>
    <cellStyle name="xl50" xfId="143"/>
    <cellStyle name="xl50 2" xfId="144"/>
    <cellStyle name="xl51" xfId="145"/>
    <cellStyle name="xl52" xfId="146"/>
    <cellStyle name="xl53" xfId="147"/>
    <cellStyle name="xl54" xfId="148"/>
    <cellStyle name="xl56" xfId="211"/>
    <cellStyle name="Акцент1" xfId="149" builtinId="29" customBuiltin="1"/>
    <cellStyle name="Акцент1 2" xfId="150"/>
    <cellStyle name="Акцент2" xfId="151" builtinId="33" customBuiltin="1"/>
    <cellStyle name="Акцент2 2" xfId="152"/>
    <cellStyle name="Акцент3" xfId="153" builtinId="37" customBuiltin="1"/>
    <cellStyle name="Акцент3 2" xfId="154"/>
    <cellStyle name="Акцент4" xfId="155" builtinId="41" customBuiltin="1"/>
    <cellStyle name="Акцент4 2" xfId="156"/>
    <cellStyle name="Акцент5" xfId="157" builtinId="45" customBuiltin="1"/>
    <cellStyle name="Акцент5 2" xfId="158"/>
    <cellStyle name="Акцент6" xfId="159" builtinId="49" customBuiltin="1"/>
    <cellStyle name="Акцент6 2" xfId="160"/>
    <cellStyle name="Ввод " xfId="161" builtinId="20" customBuiltin="1"/>
    <cellStyle name="Ввод  2" xfId="162"/>
    <cellStyle name="Вывод" xfId="163" builtinId="21" customBuiltin="1"/>
    <cellStyle name="Вывод 2" xfId="164"/>
    <cellStyle name="Вычисление" xfId="165" builtinId="22" customBuiltin="1"/>
    <cellStyle name="Вычисление 2" xfId="166"/>
    <cellStyle name="Заголовок 1" xfId="167" builtinId="16" customBuiltin="1"/>
    <cellStyle name="Заголовок 1 2" xfId="168"/>
    <cellStyle name="Заголовок 2" xfId="169" builtinId="17" customBuiltin="1"/>
    <cellStyle name="Заголовок 2 2" xfId="170"/>
    <cellStyle name="Заголовок 3" xfId="171" builtinId="18" customBuiltin="1"/>
    <cellStyle name="Заголовок 3 2" xfId="172"/>
    <cellStyle name="Заголовок 4" xfId="173" builtinId="19" customBuiltin="1"/>
    <cellStyle name="Заголовок 4 2" xfId="174"/>
    <cellStyle name="Итог" xfId="175" builtinId="25" customBuiltin="1"/>
    <cellStyle name="Итог 2" xfId="176"/>
    <cellStyle name="Контрольная ячейка" xfId="177" builtinId="23" customBuiltin="1"/>
    <cellStyle name="Контрольная ячейка 2" xfId="178"/>
    <cellStyle name="Название" xfId="179" builtinId="15" customBuiltin="1"/>
    <cellStyle name="Название 2" xfId="180"/>
    <cellStyle name="Нейтральный" xfId="181" builtinId="28" customBuiltin="1"/>
    <cellStyle name="Нейтральный 2" xfId="182"/>
    <cellStyle name="Обычный" xfId="0" builtinId="0"/>
    <cellStyle name="Обычный 2" xfId="183"/>
    <cellStyle name="Обычный 3" xfId="184"/>
    <cellStyle name="Обычный 4" xfId="185"/>
    <cellStyle name="Обычный 5" xfId="186"/>
    <cellStyle name="Обычный_Нераспределенная  субсидия" xfId="187"/>
    <cellStyle name="Обычный_Нераспределенные  иные  МБТ" xfId="188"/>
    <cellStyle name="Обычный_Проверочная  таблица  к  отчету" xfId="189"/>
    <cellStyle name="Обычный_Проверочная  таблица  к  отчету_1" xfId="190"/>
    <cellStyle name="Обычный_Проверочная  таблица  к  отчету_2" xfId="191"/>
    <cellStyle name="Обычный_Прочая  субсидия_МР  и  ГО_факт" xfId="192"/>
    <cellStyle name="Обычный_Субвенция  на  полномочия" xfId="193"/>
    <cellStyle name="Обычный_Субвенция  на  полномочия_факт" xfId="194"/>
    <cellStyle name="Плохой" xfId="195" builtinId="27" customBuiltin="1"/>
    <cellStyle name="Плохой 2" xfId="196"/>
    <cellStyle name="Пояснение" xfId="197" builtinId="53" customBuiltin="1"/>
    <cellStyle name="Пояснение 2" xfId="198"/>
    <cellStyle name="Примечание" xfId="199" builtinId="10" customBuiltin="1"/>
    <cellStyle name="Примечание 2" xfId="200"/>
    <cellStyle name="Связанная ячейка" xfId="201" builtinId="24" customBuiltin="1"/>
    <cellStyle name="Связанная ячейка 2" xfId="202"/>
    <cellStyle name="Текст предупреждения" xfId="203" builtinId="11" customBuiltin="1"/>
    <cellStyle name="Текст предупреждения 2" xfId="204"/>
    <cellStyle name="Финансовый" xfId="205" builtinId="3"/>
    <cellStyle name="Хороший" xfId="206" builtinId="26" customBuiltin="1"/>
    <cellStyle name="Хороший 2" xfId="207"/>
  </cellStyles>
  <dxfs count="0"/>
  <tableStyles count="0"/>
  <colors>
    <mruColors>
      <color rgb="FFCCFFFF"/>
      <color rgb="FF66FFFF"/>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2;&#1077;&#1078;&#1073;&#1102;&#1076;&#1078;&#1077;&#1090;&#1085;&#1099;&#1077;%20%20&#1090;&#1088;&#1072;&#1085;&#1089;&#1092;&#1077;&#1088;&#1090;&#1099;%20%202020_&#1095;&#1072;&#1089;&#1090;&#1100;%20%20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52;&#1077;&#1078;&#1073;&#1102;&#1076;&#1078;&#1077;&#1090;&#1085;&#1099;&#1077;%20%20&#1090;&#1088;&#1072;&#1085;&#1089;&#1092;&#1077;&#1088;&#1090;&#1099;%20%202020_&#1095;&#1072;&#1089;&#1090;&#1100;%20I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aygroup/2018%20%20&#1043;&#1054;&#1044;/&#1055;&#1088;&#1086;&#1074;&#1077;&#1088;&#1086;&#1095;&#1085;&#1072;&#1103;%20%20&#1090;&#1072;&#1073;&#1083;&#1080;&#1094;&#1072;%20%2020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Raygroup/2019%20%20&#1043;&#1054;&#1044;/&#1055;&#1088;&#1086;&#1074;&#1077;&#1088;&#1086;&#1095;&#1085;&#1072;&#1103;%20%20&#1090;&#1072;&#1073;&#1083;&#1080;&#1094;&#1072;%20%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ые МБТ_Хранилище"/>
      <sheetName val="доля  иных  МБТ_план"/>
      <sheetName val="доля  иных  МБТ_факт"/>
      <sheetName val="Сравнение  ФП"/>
      <sheetName val="Финансовая  помощь  (план)"/>
      <sheetName val="Финансовая  помощь  (факт)"/>
      <sheetName val="Расходы  без  учета  МБТ (план)"/>
      <sheetName val="Расходы  за  счет  МБТ  (план)"/>
      <sheetName val="Итого расходов по отраслям_план"/>
      <sheetName val="Расходы  по отраслям_точно_план"/>
      <sheetName val="Доходы  3  года"/>
      <sheetName val="Проект  бюджета"/>
      <sheetName val="Регулирование  МР  и  ГО"/>
      <sheetName val="Регулирование  БП"/>
      <sheetName val="Регулирование  КБ"/>
      <sheetName val="Доходы  МР  и  ГО  на  3  года"/>
      <sheetName val="Доходы  МР и  ГО  на 3 года_3 "/>
      <sheetName val="Бюджет  МР  и  ГО"/>
      <sheetName val="Бюджет  поселений"/>
      <sheetName val="Консолидированный  бюджет  МО"/>
      <sheetName val="Приложен. по нормативам МР и ГО"/>
      <sheetName val="Приложение по нормативам_акцизы"/>
      <sheetName val="Прилож. по дотации_ФФПМР_план"/>
      <sheetName val="Прилож. по дотации_ФФПМР_факт "/>
      <sheetName val="Приложение по дотации_ФФПП_план"/>
      <sheetName val="Приложение по дотации_ФФПП_факт"/>
      <sheetName val="Дотация  из  ФСМБ_БП_план"/>
      <sheetName val="Приложение по субвенции_МР_план"/>
      <sheetName val="Вставка  в  закон"/>
      <sheetName val="Приложение по субвенции_МР_факт"/>
      <sheetName val="Приложение по субвении_БП_план"/>
      <sheetName val="Приложение по субвении_БП_факт"/>
      <sheetName val="Приложение_перечень субсид_план"/>
      <sheetName val="Приложение  по  субсидии  план"/>
      <sheetName val="Приложение_перечень субсид_факт"/>
      <sheetName val="Приложение  по субсидии_февраль"/>
      <sheetName val="Приложение  по субсидии_апрель"/>
      <sheetName val="Приложение  по субсидии_май"/>
      <sheetName val="Приложение  по субсидии_июнь"/>
      <sheetName val="Приложение  по  ГП  1_факт"/>
      <sheetName val="Приложение  по  ГП  4_факт"/>
      <sheetName val="Приложение  по  ГП  5_факт"/>
      <sheetName val="Приложение  по  ГП  6_факт"/>
      <sheetName val="Приложение  по  ГП  7_факт"/>
      <sheetName val="Приложение  по  ГП  8_факт"/>
      <sheetName val="Приложение  по  ГП  10_факт"/>
      <sheetName val="Приложение  по  ГП  11_факт"/>
      <sheetName val="Приложение  по  ГП  12_факт"/>
      <sheetName val="Приложение  по  ГП  13_факт"/>
      <sheetName val="Приложение  по  ГП  14_факт"/>
      <sheetName val="Приложение  по  ГП  16_факт"/>
      <sheetName val="Приложение  по  ГП  18_факт"/>
      <sheetName val="Приложение  по  ГП  20_факт"/>
      <sheetName val="Приложение  по  ГП  21_факт"/>
      <sheetName val="Приложение  по  грантам_план"/>
      <sheetName val="Приложение  по  грантам_факт"/>
      <sheetName val="Приложен. по субвенции_МР_план"/>
      <sheetName val="Приложен. по субвенции_МР_факт"/>
      <sheetName val="Прилож. субвенция_МР_21-22 план"/>
      <sheetName val="Прилож. субвенция_МР_21-22 факт"/>
      <sheetName val="План по субвенции_МР_2020-2022"/>
      <sheetName val="Субвенция,  иные  МБТ_2020-2022"/>
      <sheetName val="Дотация  2020 - 2022"/>
      <sheetName val="Дотация  поселениям_2020 - 2022"/>
      <sheetName val="Дотация  из  ОБ_план"/>
      <sheetName val="Дотация  из  ОБ_факт"/>
      <sheetName val="Субвенция_план"/>
      <sheetName val="Субвенция_факт"/>
      <sheetName val="Субвенция  ВУС_Хранилище"/>
      <sheetName val="Субвенция  ВУС_для  ограничений"/>
      <sheetName val="Субсидия_факт"/>
      <sheetName val="Нераспределенная  субсидия"/>
      <sheetName val="Капвложения_факт"/>
      <sheetName val="Капвложения_факт_приказы"/>
      <sheetName val="Иные межбюджетные трансферты"/>
      <sheetName val="Сравнение  субсидии"/>
      <sheetName val="Сравнение  иных  МБТ"/>
      <sheetName val="МБТ  2019 - 2020"/>
      <sheetName val="МБТ  2019 - 2020 (2)"/>
      <sheetName val="МБТ  2019 - 2020_публичные"/>
      <sheetName val="Дотация  ОМС"/>
      <sheetName val="Фонды 2020-2022_для закона_план"/>
      <sheetName val="Фонды 2020-2022_для закона_ (2)"/>
      <sheetName val="Фонды 2020-2022_для закона_факт"/>
      <sheetName val="Утвержденный  объем  МБТ"/>
      <sheetName val="Утвержденный  объем  МБТ (2)"/>
      <sheetName val="Факт  средств  из  ОБ_год "/>
      <sheetName val="Отклонение руб.коп. от тыс.руб."/>
      <sheetName val="Сводная  таблиц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ow r="8">
          <cell r="G8">
            <v>27718600</v>
          </cell>
          <cell r="K8">
            <v>0</v>
          </cell>
          <cell r="M8">
            <v>36305000</v>
          </cell>
          <cell r="Q8">
            <v>535500</v>
          </cell>
          <cell r="S8">
            <v>17471900</v>
          </cell>
          <cell r="W8">
            <v>0</v>
          </cell>
        </row>
        <row r="9">
          <cell r="G9">
            <v>111505000</v>
          </cell>
          <cell r="K9">
            <v>67475000</v>
          </cell>
          <cell r="M9">
            <v>16118400</v>
          </cell>
          <cell r="Q9">
            <v>2014500</v>
          </cell>
          <cell r="S9">
            <v>17624700</v>
          </cell>
          <cell r="W9">
            <v>1876600</v>
          </cell>
          <cell r="Y9">
            <v>204000</v>
          </cell>
          <cell r="AA9">
            <v>1800000</v>
          </cell>
          <cell r="AG9">
            <v>2073371</v>
          </cell>
        </row>
        <row r="10">
          <cell r="G10">
            <v>18971000</v>
          </cell>
          <cell r="K10">
            <v>10442000</v>
          </cell>
          <cell r="M10">
            <v>44069900</v>
          </cell>
          <cell r="Q10">
            <v>714000</v>
          </cell>
          <cell r="S10">
            <v>47619900</v>
          </cell>
          <cell r="W10">
            <v>13770500</v>
          </cell>
          <cell r="Y10">
            <v>191250</v>
          </cell>
          <cell r="AA10">
            <v>1200000</v>
          </cell>
          <cell r="AE10">
            <v>900000</v>
          </cell>
          <cell r="AG10">
            <v>870480</v>
          </cell>
        </row>
        <row r="11">
          <cell r="G11">
            <v>39499000</v>
          </cell>
          <cell r="K11">
            <v>0</v>
          </cell>
          <cell r="M11">
            <v>7817200</v>
          </cell>
          <cell r="Q11">
            <v>867000</v>
          </cell>
          <cell r="S11">
            <v>28046000</v>
          </cell>
          <cell r="W11">
            <v>0</v>
          </cell>
          <cell r="Y11">
            <v>714000</v>
          </cell>
          <cell r="AA11">
            <v>750000</v>
          </cell>
          <cell r="AC11">
            <v>500000</v>
          </cell>
          <cell r="AG11">
            <v>1399325</v>
          </cell>
        </row>
        <row r="12">
          <cell r="G12">
            <v>24949000</v>
          </cell>
          <cell r="K12">
            <v>0</v>
          </cell>
          <cell r="M12">
            <v>51790000</v>
          </cell>
          <cell r="Q12">
            <v>1620000</v>
          </cell>
          <cell r="S12">
            <v>39134700</v>
          </cell>
          <cell r="W12">
            <v>0</v>
          </cell>
          <cell r="Y12">
            <v>467500</v>
          </cell>
          <cell r="AG12">
            <v>883090</v>
          </cell>
        </row>
        <row r="13">
          <cell r="G13">
            <v>25641000</v>
          </cell>
          <cell r="K13">
            <v>0</v>
          </cell>
          <cell r="M13">
            <v>64205200</v>
          </cell>
          <cell r="Q13">
            <v>637500</v>
          </cell>
          <cell r="S13">
            <v>26814700</v>
          </cell>
          <cell r="W13">
            <v>0</v>
          </cell>
          <cell r="Y13">
            <v>255000</v>
          </cell>
          <cell r="AC13">
            <v>900000</v>
          </cell>
          <cell r="AG13">
            <v>622734</v>
          </cell>
        </row>
        <row r="14">
          <cell r="G14">
            <v>33096000</v>
          </cell>
          <cell r="K14">
            <v>0</v>
          </cell>
          <cell r="M14">
            <v>51394800</v>
          </cell>
          <cell r="Q14">
            <v>867000</v>
          </cell>
          <cell r="S14">
            <v>18435000</v>
          </cell>
          <cell r="W14">
            <v>0</v>
          </cell>
          <cell r="Y14">
            <v>1041250</v>
          </cell>
          <cell r="AC14">
            <v>700000</v>
          </cell>
        </row>
        <row r="15">
          <cell r="G15">
            <v>47716000</v>
          </cell>
          <cell r="K15">
            <v>10858000</v>
          </cell>
          <cell r="M15">
            <v>67182800</v>
          </cell>
          <cell r="Q15">
            <v>4061000</v>
          </cell>
          <cell r="S15">
            <v>19203900</v>
          </cell>
          <cell r="W15">
            <v>925100</v>
          </cell>
          <cell r="AE15">
            <v>1500000</v>
          </cell>
        </row>
        <row r="16">
          <cell r="G16">
            <v>18794000</v>
          </cell>
          <cell r="K16">
            <v>0</v>
          </cell>
          <cell r="M16">
            <v>137296600</v>
          </cell>
          <cell r="Q16">
            <v>790500</v>
          </cell>
          <cell r="S16">
            <v>30515000</v>
          </cell>
          <cell r="W16">
            <v>0</v>
          </cell>
          <cell r="AC16">
            <v>1200000</v>
          </cell>
        </row>
        <row r="17">
          <cell r="G17">
            <v>3771000</v>
          </cell>
          <cell r="K17">
            <v>0</v>
          </cell>
          <cell r="M17">
            <v>23648100</v>
          </cell>
          <cell r="Q17">
            <v>408000</v>
          </cell>
          <cell r="S17">
            <v>17891400</v>
          </cell>
          <cell r="W17">
            <v>0</v>
          </cell>
        </row>
        <row r="18">
          <cell r="G18">
            <v>27017000</v>
          </cell>
          <cell r="K18">
            <v>5400000</v>
          </cell>
          <cell r="M18">
            <v>87025000</v>
          </cell>
          <cell r="Q18">
            <v>867000</v>
          </cell>
          <cell r="S18">
            <v>30815700</v>
          </cell>
          <cell r="W18">
            <v>6977200</v>
          </cell>
          <cell r="Y18">
            <v>1899750</v>
          </cell>
          <cell r="AG18">
            <v>711555</v>
          </cell>
        </row>
        <row r="19">
          <cell r="G19">
            <v>9651000</v>
          </cell>
          <cell r="K19">
            <v>0</v>
          </cell>
          <cell r="M19">
            <v>54749800</v>
          </cell>
          <cell r="Q19">
            <v>17612000</v>
          </cell>
          <cell r="S19">
            <v>13893700</v>
          </cell>
          <cell r="W19">
            <v>0</v>
          </cell>
          <cell r="AC19">
            <v>600000</v>
          </cell>
        </row>
        <row r="20">
          <cell r="G20">
            <v>13584000</v>
          </cell>
          <cell r="K20">
            <v>0</v>
          </cell>
          <cell r="M20">
            <v>26758100</v>
          </cell>
          <cell r="Q20">
            <v>1096500</v>
          </cell>
          <cell r="S20">
            <v>8317700.0000000009</v>
          </cell>
          <cell r="W20">
            <v>0</v>
          </cell>
          <cell r="Y20">
            <v>2384250</v>
          </cell>
          <cell r="AG20">
            <v>864405</v>
          </cell>
        </row>
        <row r="21">
          <cell r="G21">
            <v>19006000</v>
          </cell>
          <cell r="K21">
            <v>0</v>
          </cell>
          <cell r="M21">
            <v>33795800</v>
          </cell>
          <cell r="Q21">
            <v>714000</v>
          </cell>
          <cell r="S21">
            <v>18521300</v>
          </cell>
          <cell r="W21">
            <v>0</v>
          </cell>
          <cell r="Y21">
            <v>280500</v>
          </cell>
          <cell r="AC21">
            <v>1000000</v>
          </cell>
        </row>
        <row r="22">
          <cell r="G22">
            <v>27120000</v>
          </cell>
          <cell r="K22">
            <v>0</v>
          </cell>
          <cell r="M22">
            <v>29672300</v>
          </cell>
          <cell r="Q22">
            <v>688500</v>
          </cell>
          <cell r="S22">
            <v>12280700</v>
          </cell>
          <cell r="W22">
            <v>0</v>
          </cell>
          <cell r="Y22">
            <v>127500</v>
          </cell>
          <cell r="AA22">
            <v>1500000</v>
          </cell>
          <cell r="AG22">
            <v>2145642</v>
          </cell>
        </row>
        <row r="23">
          <cell r="G23">
            <v>108268000</v>
          </cell>
          <cell r="K23">
            <v>35764000</v>
          </cell>
          <cell r="M23">
            <v>308632200</v>
          </cell>
          <cell r="Q23">
            <v>26860880</v>
          </cell>
          <cell r="S23">
            <v>18222800</v>
          </cell>
          <cell r="W23">
            <v>962400</v>
          </cell>
          <cell r="Y23">
            <v>680000</v>
          </cell>
          <cell r="AC23">
            <v>800000</v>
          </cell>
          <cell r="AG23">
            <v>2170580</v>
          </cell>
        </row>
        <row r="24">
          <cell r="G24">
            <v>27623000</v>
          </cell>
          <cell r="K24">
            <v>0</v>
          </cell>
          <cell r="M24">
            <v>35212000</v>
          </cell>
          <cell r="Q24">
            <v>4184500</v>
          </cell>
          <cell r="S24">
            <v>9971000</v>
          </cell>
          <cell r="W24">
            <v>0</v>
          </cell>
          <cell r="AC24">
            <v>1700000</v>
          </cell>
          <cell r="AG24">
            <v>758818</v>
          </cell>
        </row>
        <row r="25">
          <cell r="G25">
            <v>37590000</v>
          </cell>
          <cell r="K25">
            <v>1861000</v>
          </cell>
          <cell r="M25">
            <v>67538300</v>
          </cell>
          <cell r="Q25">
            <v>1096500</v>
          </cell>
          <cell r="S25">
            <v>19553000</v>
          </cell>
          <cell r="W25">
            <v>900100</v>
          </cell>
          <cell r="Y25">
            <v>255000</v>
          </cell>
          <cell r="AA25">
            <v>750000</v>
          </cell>
          <cell r="AC25">
            <v>1100000</v>
          </cell>
          <cell r="AE25">
            <v>600000</v>
          </cell>
        </row>
        <row r="28">
          <cell r="M28">
            <v>200725900</v>
          </cell>
          <cell r="Q28">
            <v>69210000</v>
          </cell>
        </row>
        <row r="29">
          <cell r="M29">
            <v>226358300</v>
          </cell>
          <cell r="Q29">
            <v>215953925.99999997</v>
          </cell>
          <cell r="AC29">
            <v>1500000</v>
          </cell>
        </row>
        <row r="37">
          <cell r="F37">
            <v>254868094</v>
          </cell>
        </row>
        <row r="38">
          <cell r="F38">
            <v>0</v>
          </cell>
        </row>
        <row r="39">
          <cell r="F39">
            <v>0</v>
          </cell>
        </row>
        <row r="40">
          <cell r="F40">
            <v>0</v>
          </cell>
        </row>
        <row r="41">
          <cell r="F41">
            <v>0</v>
          </cell>
        </row>
        <row r="42">
          <cell r="F42">
            <v>0</v>
          </cell>
        </row>
        <row r="43">
          <cell r="F43">
            <v>2976947206</v>
          </cell>
        </row>
      </sheetData>
      <sheetData sheetId="66"/>
      <sheetData sheetId="67">
        <row r="9">
          <cell r="E9">
            <v>0</v>
          </cell>
          <cell r="F9">
            <v>0</v>
          </cell>
          <cell r="G9">
            <v>0</v>
          </cell>
          <cell r="H9">
            <v>0</v>
          </cell>
          <cell r="I9">
            <v>0</v>
          </cell>
          <cell r="J9">
            <v>1375</v>
          </cell>
          <cell r="K9">
            <v>1020</v>
          </cell>
          <cell r="L9">
            <v>4293.7169999999996</v>
          </cell>
          <cell r="M9">
            <v>1053.6500000000001</v>
          </cell>
          <cell r="N9">
            <v>606.29999999999995</v>
          </cell>
          <cell r="O9">
            <v>50.25</v>
          </cell>
          <cell r="P9">
            <v>5515.1</v>
          </cell>
          <cell r="Q9">
            <v>96.48</v>
          </cell>
          <cell r="R9">
            <v>1978.3</v>
          </cell>
          <cell r="S9">
            <v>511.3</v>
          </cell>
          <cell r="T9">
            <v>23433</v>
          </cell>
          <cell r="U9">
            <v>120970</v>
          </cell>
          <cell r="V9">
            <v>0</v>
          </cell>
          <cell r="W9">
            <v>4</v>
          </cell>
          <cell r="Y9">
            <v>1860.1</v>
          </cell>
          <cell r="Z9">
            <v>0</v>
          </cell>
          <cell r="AA9">
            <v>615.29999999999995</v>
          </cell>
          <cell r="AB9">
            <v>424.59400000000005</v>
          </cell>
          <cell r="AC9">
            <v>1430</v>
          </cell>
          <cell r="AE9">
            <v>723.5</v>
          </cell>
          <cell r="AF9">
            <v>1465.9</v>
          </cell>
          <cell r="AG9">
            <v>3</v>
          </cell>
          <cell r="AH9">
            <v>788.17</v>
          </cell>
        </row>
        <row r="10">
          <cell r="E10">
            <v>0</v>
          </cell>
          <cell r="F10">
            <v>714.46699999999998</v>
          </cell>
          <cell r="G10">
            <v>0</v>
          </cell>
          <cell r="H10">
            <v>0</v>
          </cell>
          <cell r="I10">
            <v>0</v>
          </cell>
          <cell r="J10">
            <v>1540</v>
          </cell>
          <cell r="K10">
            <v>2794.1</v>
          </cell>
          <cell r="L10">
            <v>25700.295000000002</v>
          </cell>
          <cell r="M10">
            <v>7703.2</v>
          </cell>
          <cell r="N10">
            <v>1149.0999999999999</v>
          </cell>
          <cell r="O10">
            <v>50.25</v>
          </cell>
          <cell r="P10">
            <v>21298</v>
          </cell>
          <cell r="Q10">
            <v>1929.6</v>
          </cell>
          <cell r="R10">
            <v>6267.7</v>
          </cell>
          <cell r="S10">
            <v>571.9</v>
          </cell>
          <cell r="T10">
            <v>162809</v>
          </cell>
          <cell r="U10">
            <v>385077</v>
          </cell>
          <cell r="V10">
            <v>0</v>
          </cell>
          <cell r="W10">
            <v>14.5</v>
          </cell>
          <cell r="Y10">
            <v>2429.3000000000002</v>
          </cell>
          <cell r="Z10">
            <v>0</v>
          </cell>
          <cell r="AA10">
            <v>1173.0999999999999</v>
          </cell>
          <cell r="AB10">
            <v>909.84400000000005</v>
          </cell>
          <cell r="AC10">
            <v>4100</v>
          </cell>
          <cell r="AE10">
            <v>1471</v>
          </cell>
          <cell r="AF10">
            <v>1999.8</v>
          </cell>
          <cell r="AG10">
            <v>0</v>
          </cell>
          <cell r="AH10">
            <v>842.67</v>
          </cell>
        </row>
        <row r="11">
          <cell r="E11">
            <v>0</v>
          </cell>
          <cell r="F11">
            <v>0</v>
          </cell>
          <cell r="G11">
            <v>0</v>
          </cell>
          <cell r="H11">
            <v>0</v>
          </cell>
          <cell r="I11">
            <v>100</v>
          </cell>
          <cell r="J11">
            <v>1060</v>
          </cell>
          <cell r="K11">
            <v>5440.5999999999995</v>
          </cell>
          <cell r="L11">
            <v>11664.331</v>
          </cell>
          <cell r="M11">
            <v>2857.9500000000003</v>
          </cell>
          <cell r="N11">
            <v>1104.5</v>
          </cell>
          <cell r="O11">
            <v>50.25</v>
          </cell>
          <cell r="P11">
            <v>17888.2</v>
          </cell>
          <cell r="Q11">
            <v>482.4</v>
          </cell>
          <cell r="R11">
            <v>2536.1</v>
          </cell>
          <cell r="S11">
            <v>547.29999999999995</v>
          </cell>
          <cell r="T11">
            <v>119597</v>
          </cell>
          <cell r="U11">
            <v>194300</v>
          </cell>
          <cell r="V11">
            <v>0</v>
          </cell>
          <cell r="W11">
            <v>10</v>
          </cell>
          <cell r="Y11">
            <v>2480.8000000000002</v>
          </cell>
          <cell r="Z11">
            <v>0</v>
          </cell>
          <cell r="AA11">
            <v>615.1</v>
          </cell>
          <cell r="AB11">
            <v>909.84400000000005</v>
          </cell>
          <cell r="AC11">
            <v>2400</v>
          </cell>
          <cell r="AE11">
            <v>1346.2</v>
          </cell>
          <cell r="AF11">
            <v>1238.5</v>
          </cell>
          <cell r="AG11">
            <v>3</v>
          </cell>
          <cell r="AH11">
            <v>900.17</v>
          </cell>
        </row>
        <row r="12">
          <cell r="E12">
            <v>0</v>
          </cell>
          <cell r="F12">
            <v>0</v>
          </cell>
          <cell r="G12">
            <v>0</v>
          </cell>
          <cell r="H12">
            <v>0</v>
          </cell>
          <cell r="I12">
            <v>200</v>
          </cell>
          <cell r="J12">
            <v>2543</v>
          </cell>
          <cell r="K12">
            <v>2909.8</v>
          </cell>
          <cell r="L12">
            <v>11232.892</v>
          </cell>
          <cell r="M12">
            <v>3449.9</v>
          </cell>
          <cell r="N12">
            <v>1280.0999999999999</v>
          </cell>
          <cell r="O12">
            <v>150.75</v>
          </cell>
          <cell r="P12">
            <v>13741.1</v>
          </cell>
          <cell r="Q12">
            <v>96.48</v>
          </cell>
          <cell r="R12">
            <v>3161.5</v>
          </cell>
          <cell r="S12">
            <v>572.6</v>
          </cell>
          <cell r="T12">
            <v>38929</v>
          </cell>
          <cell r="U12">
            <v>284722</v>
          </cell>
          <cell r="V12">
            <v>0</v>
          </cell>
          <cell r="W12">
            <v>4</v>
          </cell>
          <cell r="Y12">
            <v>1927.1</v>
          </cell>
          <cell r="Z12">
            <v>0</v>
          </cell>
          <cell r="AA12">
            <v>629.29999999999995</v>
          </cell>
          <cell r="AB12">
            <v>363.93799999999999</v>
          </cell>
          <cell r="AC12">
            <v>2950</v>
          </cell>
          <cell r="AE12">
            <v>872.3</v>
          </cell>
          <cell r="AF12">
            <v>1877.4</v>
          </cell>
          <cell r="AG12">
            <v>0</v>
          </cell>
          <cell r="AH12">
            <v>871.47</v>
          </cell>
        </row>
        <row r="13">
          <cell r="E13">
            <v>0</v>
          </cell>
          <cell r="F13">
            <v>0</v>
          </cell>
          <cell r="G13">
            <v>0</v>
          </cell>
          <cell r="H13">
            <v>0</v>
          </cell>
          <cell r="I13">
            <v>200</v>
          </cell>
          <cell r="J13">
            <v>2258</v>
          </cell>
          <cell r="K13">
            <v>3857.6</v>
          </cell>
          <cell r="L13">
            <v>8518.1530000000002</v>
          </cell>
          <cell r="M13">
            <v>3734.85</v>
          </cell>
          <cell r="N13">
            <v>1291.4000000000001</v>
          </cell>
          <cell r="O13">
            <v>50.25</v>
          </cell>
          <cell r="P13">
            <v>15397.8</v>
          </cell>
          <cell r="Q13">
            <v>675.36</v>
          </cell>
          <cell r="R13">
            <v>2519.1999999999998</v>
          </cell>
          <cell r="S13">
            <v>501.1</v>
          </cell>
          <cell r="T13">
            <v>80011</v>
          </cell>
          <cell r="U13">
            <v>216369</v>
          </cell>
          <cell r="V13">
            <v>0</v>
          </cell>
          <cell r="W13">
            <v>8</v>
          </cell>
          <cell r="Y13">
            <v>1783.4</v>
          </cell>
          <cell r="Z13">
            <v>0</v>
          </cell>
          <cell r="AA13">
            <v>620.29999999999995</v>
          </cell>
          <cell r="AB13">
            <v>212.297</v>
          </cell>
          <cell r="AC13">
            <v>1500</v>
          </cell>
          <cell r="AE13">
            <v>901.2</v>
          </cell>
          <cell r="AF13">
            <v>1637.5</v>
          </cell>
          <cell r="AG13">
            <v>4</v>
          </cell>
          <cell r="AH13">
            <v>852.27</v>
          </cell>
        </row>
        <row r="14">
          <cell r="E14">
            <v>0</v>
          </cell>
          <cell r="F14">
            <v>0</v>
          </cell>
          <cell r="G14">
            <v>0</v>
          </cell>
          <cell r="H14">
            <v>0</v>
          </cell>
          <cell r="I14">
            <v>0</v>
          </cell>
          <cell r="J14">
            <v>1771</v>
          </cell>
          <cell r="K14">
            <v>1615.7</v>
          </cell>
          <cell r="L14">
            <v>6326.0559999999996</v>
          </cell>
          <cell r="M14">
            <v>1640.65</v>
          </cell>
          <cell r="N14">
            <v>610.1</v>
          </cell>
          <cell r="O14">
            <v>100.5</v>
          </cell>
          <cell r="P14">
            <v>11349.1</v>
          </cell>
          <cell r="Q14">
            <v>385.92</v>
          </cell>
          <cell r="R14">
            <v>1943.1</v>
          </cell>
          <cell r="S14">
            <v>565.4</v>
          </cell>
          <cell r="T14">
            <v>31930</v>
          </cell>
          <cell r="U14">
            <v>167106</v>
          </cell>
          <cell r="V14">
            <v>0</v>
          </cell>
          <cell r="W14">
            <v>3</v>
          </cell>
          <cell r="Y14">
            <v>2006</v>
          </cell>
          <cell r="Z14">
            <v>0</v>
          </cell>
          <cell r="AA14">
            <v>573.5</v>
          </cell>
          <cell r="AB14">
            <v>363.93799999999999</v>
          </cell>
          <cell r="AC14">
            <v>1350</v>
          </cell>
          <cell r="AE14">
            <v>686</v>
          </cell>
          <cell r="AF14">
            <v>1047.5</v>
          </cell>
          <cell r="AG14">
            <v>5</v>
          </cell>
          <cell r="AH14">
            <v>799.37</v>
          </cell>
        </row>
        <row r="15">
          <cell r="E15">
            <v>0</v>
          </cell>
          <cell r="F15">
            <v>0</v>
          </cell>
          <cell r="G15">
            <v>0</v>
          </cell>
          <cell r="H15">
            <v>0</v>
          </cell>
          <cell r="I15">
            <v>0</v>
          </cell>
          <cell r="J15">
            <v>2010</v>
          </cell>
          <cell r="K15">
            <v>3323.4</v>
          </cell>
          <cell r="L15">
            <v>8372.393</v>
          </cell>
          <cell r="M15">
            <v>2101.4</v>
          </cell>
          <cell r="N15">
            <v>1149.8</v>
          </cell>
          <cell r="O15">
            <v>201</v>
          </cell>
          <cell r="P15">
            <v>10264.299999999999</v>
          </cell>
          <cell r="Q15">
            <v>96.48</v>
          </cell>
          <cell r="R15">
            <v>3095.5</v>
          </cell>
          <cell r="S15">
            <v>501.6</v>
          </cell>
          <cell r="T15">
            <v>83968</v>
          </cell>
          <cell r="U15">
            <v>215800</v>
          </cell>
          <cell r="V15">
            <v>0</v>
          </cell>
          <cell r="W15">
            <v>1.5</v>
          </cell>
          <cell r="Y15">
            <v>1653.2</v>
          </cell>
          <cell r="Z15">
            <v>0</v>
          </cell>
          <cell r="AA15">
            <v>590.4</v>
          </cell>
          <cell r="AB15">
            <v>485.25</v>
          </cell>
          <cell r="AC15">
            <v>2300</v>
          </cell>
          <cell r="AE15">
            <v>1353.4</v>
          </cell>
          <cell r="AF15">
            <v>1657.9</v>
          </cell>
          <cell r="AG15">
            <v>5</v>
          </cell>
          <cell r="AH15">
            <v>788.17</v>
          </cell>
        </row>
        <row r="16">
          <cell r="E16">
            <v>0</v>
          </cell>
          <cell r="F16">
            <v>714.46699999999998</v>
          </cell>
          <cell r="G16">
            <v>0</v>
          </cell>
          <cell r="H16">
            <v>0</v>
          </cell>
          <cell r="I16">
            <v>0</v>
          </cell>
          <cell r="J16">
            <v>824</v>
          </cell>
          <cell r="K16">
            <v>3779.6</v>
          </cell>
          <cell r="L16">
            <v>10356.272000000001</v>
          </cell>
          <cell r="M16">
            <v>2896.05</v>
          </cell>
          <cell r="N16">
            <v>1315.4</v>
          </cell>
          <cell r="O16">
            <v>150.75</v>
          </cell>
          <cell r="P16">
            <v>10851.2</v>
          </cell>
          <cell r="Q16">
            <v>506.52</v>
          </cell>
          <cell r="R16">
            <v>2519.3000000000002</v>
          </cell>
          <cell r="S16">
            <v>525.9</v>
          </cell>
          <cell r="T16">
            <v>68431</v>
          </cell>
          <cell r="U16">
            <v>176721</v>
          </cell>
          <cell r="V16">
            <v>0</v>
          </cell>
          <cell r="W16">
            <v>6.5</v>
          </cell>
          <cell r="Y16">
            <v>1680.7</v>
          </cell>
          <cell r="Z16">
            <v>0</v>
          </cell>
          <cell r="AA16">
            <v>602.20000000000005</v>
          </cell>
          <cell r="AB16">
            <v>424.59399999999999</v>
          </cell>
          <cell r="AC16">
            <v>2750</v>
          </cell>
          <cell r="AE16">
            <v>1240.9000000000001</v>
          </cell>
          <cell r="AF16">
            <v>1736.8</v>
          </cell>
          <cell r="AG16">
            <v>3.2</v>
          </cell>
          <cell r="AH16">
            <v>852.17</v>
          </cell>
        </row>
        <row r="17">
          <cell r="E17">
            <v>0</v>
          </cell>
          <cell r="F17">
            <v>0</v>
          </cell>
          <cell r="G17">
            <v>0</v>
          </cell>
          <cell r="H17">
            <v>0</v>
          </cell>
          <cell r="I17">
            <v>0</v>
          </cell>
          <cell r="J17">
            <v>1700</v>
          </cell>
          <cell r="K17">
            <v>1704.8</v>
          </cell>
          <cell r="L17">
            <v>6161.2160000000003</v>
          </cell>
          <cell r="M17">
            <v>1790.55</v>
          </cell>
          <cell r="N17">
            <v>604</v>
          </cell>
          <cell r="O17">
            <v>50.25</v>
          </cell>
          <cell r="P17">
            <v>12934.4</v>
          </cell>
          <cell r="Q17">
            <v>0</v>
          </cell>
          <cell r="R17">
            <v>1963.6</v>
          </cell>
          <cell r="S17">
            <v>542</v>
          </cell>
          <cell r="T17">
            <v>31418</v>
          </cell>
          <cell r="U17">
            <v>149319</v>
          </cell>
          <cell r="V17">
            <v>0</v>
          </cell>
          <cell r="W17">
            <v>4</v>
          </cell>
          <cell r="Y17">
            <v>1908.8</v>
          </cell>
          <cell r="Z17">
            <v>0</v>
          </cell>
          <cell r="AA17">
            <v>597.70000000000005</v>
          </cell>
          <cell r="AB17">
            <v>121.313</v>
          </cell>
          <cell r="AC17">
            <v>1750</v>
          </cell>
          <cell r="AE17">
            <v>965.3</v>
          </cell>
          <cell r="AF17">
            <v>1218</v>
          </cell>
          <cell r="AG17">
            <v>2</v>
          </cell>
          <cell r="AH17">
            <v>789.77</v>
          </cell>
        </row>
        <row r="18">
          <cell r="E18">
            <v>0</v>
          </cell>
          <cell r="F18">
            <v>0</v>
          </cell>
          <cell r="G18">
            <v>0</v>
          </cell>
          <cell r="H18">
            <v>0</v>
          </cell>
          <cell r="I18">
            <v>0</v>
          </cell>
          <cell r="J18">
            <v>1310</v>
          </cell>
          <cell r="K18">
            <v>1897.1</v>
          </cell>
          <cell r="L18">
            <v>4308.357</v>
          </cell>
          <cell r="M18">
            <v>1440.45</v>
          </cell>
          <cell r="N18">
            <v>711.1</v>
          </cell>
          <cell r="O18">
            <v>0</v>
          </cell>
          <cell r="P18">
            <v>7406.6</v>
          </cell>
          <cell r="Q18">
            <v>1061.28</v>
          </cell>
          <cell r="R18">
            <v>1943.1</v>
          </cell>
          <cell r="S18">
            <v>509.5</v>
          </cell>
          <cell r="T18">
            <v>48163</v>
          </cell>
          <cell r="U18">
            <v>104691</v>
          </cell>
          <cell r="V18">
            <v>0</v>
          </cell>
          <cell r="W18">
            <v>4.5</v>
          </cell>
          <cell r="Y18">
            <v>1980.9</v>
          </cell>
          <cell r="Z18">
            <v>0</v>
          </cell>
          <cell r="AA18">
            <v>605.1</v>
          </cell>
          <cell r="AB18">
            <v>272.95299999999997</v>
          </cell>
          <cell r="AC18">
            <v>1480</v>
          </cell>
          <cell r="AE18">
            <v>777.2</v>
          </cell>
          <cell r="AF18">
            <v>673.7</v>
          </cell>
          <cell r="AG18">
            <v>0</v>
          </cell>
          <cell r="AH18">
            <v>760.97</v>
          </cell>
        </row>
        <row r="19">
          <cell r="E19">
            <v>0</v>
          </cell>
          <cell r="F19">
            <v>714.46699999999998</v>
          </cell>
          <cell r="G19">
            <v>0</v>
          </cell>
          <cell r="H19">
            <v>0</v>
          </cell>
          <cell r="I19">
            <v>0</v>
          </cell>
          <cell r="J19">
            <v>1899</v>
          </cell>
          <cell r="K19">
            <v>4558.3</v>
          </cell>
          <cell r="L19">
            <v>14641.847</v>
          </cell>
          <cell r="M19">
            <v>3534.9</v>
          </cell>
          <cell r="N19">
            <v>1145.2</v>
          </cell>
          <cell r="O19">
            <v>201</v>
          </cell>
          <cell r="P19">
            <v>14104.1</v>
          </cell>
          <cell r="Q19">
            <v>289.44</v>
          </cell>
          <cell r="R19">
            <v>3193</v>
          </cell>
          <cell r="S19">
            <v>499.1</v>
          </cell>
          <cell r="T19">
            <v>121291</v>
          </cell>
          <cell r="U19">
            <v>241204</v>
          </cell>
          <cell r="V19">
            <v>0</v>
          </cell>
          <cell r="W19">
            <v>10</v>
          </cell>
          <cell r="Y19">
            <v>2088.4</v>
          </cell>
          <cell r="Z19">
            <v>0</v>
          </cell>
          <cell r="AA19">
            <v>608.4</v>
          </cell>
          <cell r="AB19">
            <v>242.625</v>
          </cell>
          <cell r="AC19">
            <v>2900</v>
          </cell>
          <cell r="AE19">
            <v>1047.9000000000001</v>
          </cell>
          <cell r="AF19">
            <v>1800.5</v>
          </cell>
          <cell r="AG19">
            <v>4</v>
          </cell>
          <cell r="AH19">
            <v>842.57</v>
          </cell>
        </row>
        <row r="20">
          <cell r="E20">
            <v>0</v>
          </cell>
          <cell r="F20">
            <v>0</v>
          </cell>
          <cell r="G20">
            <v>0</v>
          </cell>
          <cell r="H20">
            <v>0</v>
          </cell>
          <cell r="I20">
            <v>0</v>
          </cell>
          <cell r="J20">
            <v>1675</v>
          </cell>
          <cell r="K20">
            <v>2868.9</v>
          </cell>
          <cell r="L20">
            <v>6102.4160000000002</v>
          </cell>
          <cell r="M20">
            <v>1895.1</v>
          </cell>
          <cell r="N20">
            <v>607.5</v>
          </cell>
          <cell r="O20">
            <v>0</v>
          </cell>
          <cell r="P20">
            <v>8886.2999999999993</v>
          </cell>
          <cell r="Q20">
            <v>192.96</v>
          </cell>
          <cell r="R20">
            <v>1907</v>
          </cell>
          <cell r="S20">
            <v>533.20000000000005</v>
          </cell>
          <cell r="T20">
            <v>49541</v>
          </cell>
          <cell r="U20">
            <v>179007</v>
          </cell>
          <cell r="V20">
            <v>0</v>
          </cell>
          <cell r="W20">
            <v>11.5</v>
          </cell>
          <cell r="Y20">
            <v>2451</v>
          </cell>
          <cell r="Z20">
            <v>0</v>
          </cell>
          <cell r="AA20">
            <v>614</v>
          </cell>
          <cell r="AB20">
            <v>333.60899999999998</v>
          </cell>
          <cell r="AC20">
            <v>1360</v>
          </cell>
          <cell r="AE20">
            <v>1041.2</v>
          </cell>
          <cell r="AF20">
            <v>1168.9000000000001</v>
          </cell>
          <cell r="AG20">
            <v>0</v>
          </cell>
          <cell r="AH20">
            <v>760.97</v>
          </cell>
        </row>
        <row r="21">
          <cell r="E21">
            <v>0</v>
          </cell>
          <cell r="F21">
            <v>0</v>
          </cell>
          <cell r="G21">
            <v>0</v>
          </cell>
          <cell r="H21">
            <v>0</v>
          </cell>
          <cell r="I21">
            <v>0</v>
          </cell>
          <cell r="J21">
            <v>3170</v>
          </cell>
          <cell r="K21">
            <v>5720.4000000000005</v>
          </cell>
          <cell r="L21">
            <v>16166.084000000001</v>
          </cell>
          <cell r="M21">
            <v>4064.1499999999996</v>
          </cell>
          <cell r="N21">
            <v>1141.2</v>
          </cell>
          <cell r="O21">
            <v>0</v>
          </cell>
          <cell r="P21">
            <v>17977.900000000001</v>
          </cell>
          <cell r="Q21">
            <v>1101.48</v>
          </cell>
          <cell r="R21">
            <v>4945.8999999999996</v>
          </cell>
          <cell r="S21">
            <v>518</v>
          </cell>
          <cell r="T21">
            <v>95736</v>
          </cell>
          <cell r="U21">
            <v>420184</v>
          </cell>
          <cell r="V21">
            <v>0</v>
          </cell>
          <cell r="W21">
            <v>5</v>
          </cell>
          <cell r="Y21">
            <v>1823.9</v>
          </cell>
          <cell r="Z21">
            <v>0</v>
          </cell>
          <cell r="AA21">
            <v>586.9</v>
          </cell>
          <cell r="AB21">
            <v>1122.1410000000001</v>
          </cell>
          <cell r="AC21">
            <v>1968</v>
          </cell>
          <cell r="AE21">
            <v>994.4</v>
          </cell>
          <cell r="AF21">
            <v>2949.9</v>
          </cell>
          <cell r="AG21">
            <v>7</v>
          </cell>
          <cell r="AH21">
            <v>890.67</v>
          </cell>
        </row>
        <row r="22">
          <cell r="E22">
            <v>0</v>
          </cell>
          <cell r="F22">
            <v>0</v>
          </cell>
          <cell r="G22">
            <v>0</v>
          </cell>
          <cell r="H22">
            <v>0</v>
          </cell>
          <cell r="I22">
            <v>0</v>
          </cell>
          <cell r="J22">
            <v>1350</v>
          </cell>
          <cell r="K22">
            <v>2092.8000000000002</v>
          </cell>
          <cell r="L22">
            <v>5787.1759999999995</v>
          </cell>
          <cell r="M22">
            <v>1794.95</v>
          </cell>
          <cell r="N22">
            <v>566.9</v>
          </cell>
          <cell r="O22">
            <v>0</v>
          </cell>
          <cell r="P22">
            <v>5781</v>
          </cell>
          <cell r="Q22">
            <v>96.48</v>
          </cell>
          <cell r="R22">
            <v>1788.4</v>
          </cell>
          <cell r="S22">
            <v>517</v>
          </cell>
          <cell r="T22">
            <v>45885</v>
          </cell>
          <cell r="U22">
            <v>144971</v>
          </cell>
          <cell r="V22">
            <v>0</v>
          </cell>
          <cell r="W22">
            <v>0.5</v>
          </cell>
          <cell r="Y22">
            <v>4030.1</v>
          </cell>
          <cell r="Z22">
            <v>0</v>
          </cell>
          <cell r="AA22">
            <v>619</v>
          </cell>
          <cell r="AB22">
            <v>303.28100000000001</v>
          </cell>
          <cell r="AC22">
            <v>1600</v>
          </cell>
          <cell r="AE22">
            <v>967.9</v>
          </cell>
          <cell r="AF22">
            <v>1379.7</v>
          </cell>
          <cell r="AG22">
            <v>0</v>
          </cell>
          <cell r="AH22">
            <v>861.87</v>
          </cell>
        </row>
        <row r="23">
          <cell r="E23">
            <v>0</v>
          </cell>
          <cell r="F23">
            <v>0</v>
          </cell>
          <cell r="G23">
            <v>0</v>
          </cell>
          <cell r="H23">
            <v>0</v>
          </cell>
          <cell r="I23">
            <v>0</v>
          </cell>
          <cell r="J23">
            <v>2200</v>
          </cell>
          <cell r="K23">
            <v>3061.8</v>
          </cell>
          <cell r="L23">
            <v>8002.5739999999996</v>
          </cell>
          <cell r="M23">
            <v>2132.2000000000003</v>
          </cell>
          <cell r="N23">
            <v>1170.5</v>
          </cell>
          <cell r="O23">
            <v>100.5</v>
          </cell>
          <cell r="P23">
            <v>3574.3</v>
          </cell>
          <cell r="Q23">
            <v>96.48</v>
          </cell>
          <cell r="R23">
            <v>1885.2</v>
          </cell>
          <cell r="S23">
            <v>521.6</v>
          </cell>
          <cell r="T23">
            <v>43879</v>
          </cell>
          <cell r="U23">
            <v>211605</v>
          </cell>
          <cell r="V23">
            <v>0</v>
          </cell>
          <cell r="W23">
            <v>3.5</v>
          </cell>
          <cell r="Y23">
            <v>2432.3000000000002</v>
          </cell>
          <cell r="Z23">
            <v>0</v>
          </cell>
          <cell r="AA23">
            <v>619.20000000000005</v>
          </cell>
          <cell r="AB23">
            <v>272.95299999999997</v>
          </cell>
          <cell r="AC23">
            <v>1560</v>
          </cell>
          <cell r="AD23">
            <v>70</v>
          </cell>
          <cell r="AE23">
            <v>1098.5</v>
          </cell>
          <cell r="AF23">
            <v>1277.5</v>
          </cell>
          <cell r="AG23">
            <v>4</v>
          </cell>
          <cell r="AH23">
            <v>788.17</v>
          </cell>
        </row>
        <row r="24">
          <cell r="E24">
            <v>0</v>
          </cell>
          <cell r="F24">
            <v>0</v>
          </cell>
          <cell r="G24">
            <v>0</v>
          </cell>
          <cell r="H24">
            <v>0</v>
          </cell>
          <cell r="I24">
            <v>0</v>
          </cell>
          <cell r="J24">
            <v>1690</v>
          </cell>
          <cell r="K24">
            <v>5973.7</v>
          </cell>
          <cell r="L24">
            <v>16049.645999999999</v>
          </cell>
          <cell r="M24">
            <v>4752.1500000000005</v>
          </cell>
          <cell r="N24">
            <v>1109.9000000000001</v>
          </cell>
          <cell r="O24">
            <v>100.5</v>
          </cell>
          <cell r="P24">
            <v>18167.099999999999</v>
          </cell>
          <cell r="Q24">
            <v>1382.88</v>
          </cell>
          <cell r="R24">
            <v>3566.6</v>
          </cell>
          <cell r="S24">
            <v>506.1</v>
          </cell>
          <cell r="T24">
            <v>115077</v>
          </cell>
          <cell r="U24">
            <v>273946</v>
          </cell>
          <cell r="V24">
            <v>685</v>
          </cell>
          <cell r="W24">
            <v>5</v>
          </cell>
          <cell r="Y24">
            <v>2359.8000000000002</v>
          </cell>
          <cell r="Z24">
            <v>0</v>
          </cell>
          <cell r="AA24">
            <v>1225.4000000000001</v>
          </cell>
          <cell r="AB24">
            <v>454.92200000000003</v>
          </cell>
          <cell r="AC24">
            <v>3000</v>
          </cell>
          <cell r="AD24">
            <v>100</v>
          </cell>
          <cell r="AE24">
            <v>1271.4000000000001</v>
          </cell>
          <cell r="AF24">
            <v>2408.3000000000002</v>
          </cell>
          <cell r="AG24">
            <v>5</v>
          </cell>
          <cell r="AH24">
            <v>919.47</v>
          </cell>
        </row>
        <row r="25">
          <cell r="E25">
            <v>0</v>
          </cell>
          <cell r="F25">
            <v>0</v>
          </cell>
          <cell r="G25">
            <v>0</v>
          </cell>
          <cell r="H25">
            <v>0</v>
          </cell>
          <cell r="I25">
            <v>0</v>
          </cell>
          <cell r="J25">
            <v>1950</v>
          </cell>
          <cell r="K25">
            <v>2156.1</v>
          </cell>
          <cell r="L25">
            <v>6863.9150000000009</v>
          </cell>
          <cell r="M25">
            <v>1928.95</v>
          </cell>
          <cell r="N25">
            <v>598.1</v>
          </cell>
          <cell r="O25">
            <v>0</v>
          </cell>
          <cell r="P25">
            <v>7353.3</v>
          </cell>
          <cell r="Q25">
            <v>675.36</v>
          </cell>
          <cell r="R25">
            <v>1906.9</v>
          </cell>
          <cell r="S25">
            <v>499</v>
          </cell>
          <cell r="T25">
            <v>30945</v>
          </cell>
          <cell r="U25">
            <v>162703</v>
          </cell>
          <cell r="V25">
            <v>0</v>
          </cell>
          <cell r="W25">
            <v>5.5</v>
          </cell>
          <cell r="Y25">
            <v>3609.4</v>
          </cell>
          <cell r="Z25">
            <v>0</v>
          </cell>
          <cell r="AA25">
            <v>591.70000000000005</v>
          </cell>
          <cell r="AB25">
            <v>303.28100000000001</v>
          </cell>
          <cell r="AC25">
            <v>1300</v>
          </cell>
          <cell r="AD25">
            <v>50</v>
          </cell>
          <cell r="AE25">
            <v>697.7</v>
          </cell>
          <cell r="AF25">
            <v>1356.3</v>
          </cell>
          <cell r="AG25">
            <v>0</v>
          </cell>
          <cell r="AH25">
            <v>778.17</v>
          </cell>
        </row>
        <row r="26">
          <cell r="E26">
            <v>0</v>
          </cell>
          <cell r="F26">
            <v>0</v>
          </cell>
          <cell r="G26">
            <v>0</v>
          </cell>
          <cell r="H26">
            <v>0</v>
          </cell>
          <cell r="I26">
            <v>0</v>
          </cell>
          <cell r="J26">
            <v>1341</v>
          </cell>
          <cell r="K26">
            <v>3813.1</v>
          </cell>
          <cell r="L26">
            <v>11222.412</v>
          </cell>
          <cell r="M26">
            <v>3530.7999999999997</v>
          </cell>
          <cell r="N26">
            <v>1192.5999999999999</v>
          </cell>
          <cell r="O26">
            <v>50.25</v>
          </cell>
          <cell r="P26">
            <v>8624</v>
          </cell>
          <cell r="Q26">
            <v>578.88</v>
          </cell>
          <cell r="R26">
            <v>2521.9</v>
          </cell>
          <cell r="S26">
            <v>512.70000000000005</v>
          </cell>
          <cell r="T26">
            <v>73051</v>
          </cell>
          <cell r="U26">
            <v>219559</v>
          </cell>
          <cell r="V26">
            <v>0</v>
          </cell>
          <cell r="W26">
            <v>11.5</v>
          </cell>
          <cell r="Y26">
            <v>2453.1999999999998</v>
          </cell>
          <cell r="Z26">
            <v>0</v>
          </cell>
          <cell r="AA26">
            <v>728.7</v>
          </cell>
          <cell r="AB26">
            <v>485.25</v>
          </cell>
          <cell r="AC26">
            <v>2400</v>
          </cell>
          <cell r="AD26">
            <v>200</v>
          </cell>
          <cell r="AE26">
            <v>1337.4</v>
          </cell>
          <cell r="AF26">
            <v>1908.9</v>
          </cell>
          <cell r="AG26">
            <v>2</v>
          </cell>
          <cell r="AH26">
            <v>900.97</v>
          </cell>
        </row>
        <row r="29">
          <cell r="E29">
            <v>0</v>
          </cell>
          <cell r="F29">
            <v>0</v>
          </cell>
          <cell r="G29">
            <v>0</v>
          </cell>
          <cell r="H29">
            <v>0</v>
          </cell>
          <cell r="I29">
            <v>0</v>
          </cell>
          <cell r="J29">
            <v>0</v>
          </cell>
          <cell r="K29">
            <v>13995.8</v>
          </cell>
          <cell r="L29">
            <v>35323.231999999996</v>
          </cell>
          <cell r="M29">
            <v>5635.0999999999995</v>
          </cell>
          <cell r="N29">
            <v>1269.3</v>
          </cell>
          <cell r="O29">
            <v>351.8</v>
          </cell>
          <cell r="P29">
            <v>30622</v>
          </cell>
          <cell r="Q29">
            <v>2412</v>
          </cell>
          <cell r="R29">
            <v>5105.1000000000004</v>
          </cell>
          <cell r="S29">
            <v>950.3</v>
          </cell>
          <cell r="T29">
            <v>349922</v>
          </cell>
          <cell r="U29">
            <v>367645</v>
          </cell>
          <cell r="V29">
            <v>11391</v>
          </cell>
          <cell r="W29">
            <v>27</v>
          </cell>
          <cell r="Y29">
            <v>3959.7</v>
          </cell>
          <cell r="Z29">
            <v>3000</v>
          </cell>
          <cell r="AA29">
            <v>1256.0999999999999</v>
          </cell>
          <cell r="AB29">
            <v>1516.4069999999999</v>
          </cell>
          <cell r="AC29">
            <v>3800</v>
          </cell>
          <cell r="AD29">
            <v>320</v>
          </cell>
          <cell r="AE29">
            <v>2585.3000000000002</v>
          </cell>
          <cell r="AF29">
            <v>0</v>
          </cell>
          <cell r="AG29">
            <v>15.8</v>
          </cell>
          <cell r="AH29">
            <v>0</v>
          </cell>
        </row>
        <row r="30">
          <cell r="E30">
            <v>0</v>
          </cell>
          <cell r="F30">
            <v>6430.1990000000005</v>
          </cell>
          <cell r="G30">
            <v>11813.2</v>
          </cell>
          <cell r="H30">
            <v>0</v>
          </cell>
          <cell r="I30">
            <v>300</v>
          </cell>
          <cell r="J30">
            <v>0</v>
          </cell>
          <cell r="K30">
            <v>71785.399999999994</v>
          </cell>
          <cell r="L30">
            <v>175803.016</v>
          </cell>
          <cell r="M30">
            <v>26475</v>
          </cell>
          <cell r="N30">
            <v>5931.2</v>
          </cell>
          <cell r="O30">
            <v>1005</v>
          </cell>
          <cell r="P30">
            <v>93233.600000000006</v>
          </cell>
          <cell r="Q30">
            <v>7428.92</v>
          </cell>
          <cell r="R30">
            <v>25072.1</v>
          </cell>
          <cell r="S30">
            <v>1047.0999999999999</v>
          </cell>
          <cell r="T30">
            <v>1861120.7</v>
          </cell>
          <cell r="U30">
            <v>2119635</v>
          </cell>
          <cell r="V30">
            <v>24182</v>
          </cell>
          <cell r="W30">
            <v>114.5</v>
          </cell>
          <cell r="Y30">
            <v>8662.2000000000007</v>
          </cell>
          <cell r="Z30">
            <v>7000</v>
          </cell>
          <cell r="AA30">
            <v>5790.8</v>
          </cell>
          <cell r="AB30">
            <v>20805.11</v>
          </cell>
          <cell r="AC30">
            <v>21143</v>
          </cell>
          <cell r="AD30">
            <v>100</v>
          </cell>
          <cell r="AE30">
            <v>10662.1</v>
          </cell>
          <cell r="AF30">
            <v>0</v>
          </cell>
          <cell r="AG30">
            <v>80</v>
          </cell>
          <cell r="AH30">
            <v>0</v>
          </cell>
        </row>
        <row r="37">
          <cell r="D37">
            <v>11267783454</v>
          </cell>
        </row>
      </sheetData>
      <sheetData sheetId="68"/>
      <sheetData sheetId="69"/>
      <sheetData sheetId="70">
        <row r="10">
          <cell r="R10">
            <v>0</v>
          </cell>
          <cell r="AB10">
            <v>0</v>
          </cell>
          <cell r="AD10">
            <v>0</v>
          </cell>
          <cell r="AV10">
            <v>0</v>
          </cell>
          <cell r="BB10">
            <v>0</v>
          </cell>
          <cell r="BF10">
            <v>42535.9</v>
          </cell>
          <cell r="BH10">
            <v>0</v>
          </cell>
          <cell r="CV10">
            <v>0</v>
          </cell>
          <cell r="CX10">
            <v>0</v>
          </cell>
          <cell r="DD10">
            <v>0</v>
          </cell>
          <cell r="DH10">
            <v>82502.58</v>
          </cell>
          <cell r="DJ10">
            <v>0</v>
          </cell>
          <cell r="DL10">
            <v>0</v>
          </cell>
          <cell r="EF10">
            <v>28078.559999999998</v>
          </cell>
          <cell r="EL10">
            <v>72201.509999999995</v>
          </cell>
          <cell r="ET10">
            <v>99033.65</v>
          </cell>
          <cell r="FH10">
            <v>4021852</v>
          </cell>
          <cell r="FN10">
            <v>0</v>
          </cell>
          <cell r="FV10">
            <v>0</v>
          </cell>
          <cell r="FX10">
            <v>0</v>
          </cell>
          <cell r="GB10">
            <v>0</v>
          </cell>
          <cell r="GD10">
            <v>0</v>
          </cell>
          <cell r="GH10">
            <v>0</v>
          </cell>
          <cell r="GJ10">
            <v>1734409.24</v>
          </cell>
          <cell r="GX10">
            <v>0</v>
          </cell>
          <cell r="HB10">
            <v>0</v>
          </cell>
          <cell r="HF10">
            <v>0</v>
          </cell>
          <cell r="HH10">
            <v>0</v>
          </cell>
          <cell r="HT10">
            <v>0</v>
          </cell>
          <cell r="HZ10">
            <v>0</v>
          </cell>
          <cell r="IB10">
            <v>0</v>
          </cell>
          <cell r="IJ10">
            <v>1117700.8600000001</v>
          </cell>
          <cell r="IL10">
            <v>0</v>
          </cell>
          <cell r="IN10">
            <v>0</v>
          </cell>
          <cell r="IR10">
            <v>12591719</v>
          </cell>
          <cell r="IT10">
            <v>0</v>
          </cell>
          <cell r="JF10">
            <v>0</v>
          </cell>
          <cell r="JL10">
            <v>0</v>
          </cell>
          <cell r="JN10">
            <v>0</v>
          </cell>
          <cell r="JP10">
            <v>0</v>
          </cell>
          <cell r="JR10">
            <v>0</v>
          </cell>
          <cell r="JT10">
            <v>0</v>
          </cell>
          <cell r="JX10">
            <v>0</v>
          </cell>
          <cell r="JZ10">
            <v>0</v>
          </cell>
          <cell r="KF10">
            <v>0</v>
          </cell>
          <cell r="KN10">
            <v>0</v>
          </cell>
          <cell r="KV10">
            <v>305749.3</v>
          </cell>
          <cell r="KX10">
            <v>300894.05</v>
          </cell>
          <cell r="LD10">
            <v>901228</v>
          </cell>
          <cell r="LT10">
            <v>7000000</v>
          </cell>
          <cell r="MF10">
            <v>501372.94</v>
          </cell>
          <cell r="MJ10">
            <v>1289244.7</v>
          </cell>
          <cell r="NF10">
            <v>0</v>
          </cell>
          <cell r="NH10">
            <v>0</v>
          </cell>
          <cell r="NJ10">
            <v>0</v>
          </cell>
          <cell r="NN10">
            <v>0</v>
          </cell>
        </row>
        <row r="11">
          <cell r="R11">
            <v>0</v>
          </cell>
          <cell r="AB11">
            <v>0</v>
          </cell>
          <cell r="AD11">
            <v>170260</v>
          </cell>
          <cell r="AV11">
            <v>187373.01</v>
          </cell>
          <cell r="BB11">
            <v>0</v>
          </cell>
          <cell r="BF11">
            <v>152501.71</v>
          </cell>
          <cell r="BH11">
            <v>835822.71</v>
          </cell>
          <cell r="CV11">
            <v>4848.17</v>
          </cell>
          <cell r="CX11">
            <v>0</v>
          </cell>
          <cell r="DD11">
            <v>0</v>
          </cell>
          <cell r="DH11">
            <v>182763.51999999999</v>
          </cell>
          <cell r="DJ11">
            <v>0</v>
          </cell>
          <cell r="DL11">
            <v>0</v>
          </cell>
          <cell r="EF11">
            <v>342376.05000000005</v>
          </cell>
          <cell r="EH11">
            <v>143276.94</v>
          </cell>
          <cell r="EL11">
            <v>880389.57000000007</v>
          </cell>
          <cell r="EN11">
            <v>368423.89</v>
          </cell>
          <cell r="ET11">
            <v>880881.42</v>
          </cell>
          <cell r="FH11">
            <v>3338068</v>
          </cell>
          <cell r="FN11">
            <v>0</v>
          </cell>
          <cell r="FV11">
            <v>0</v>
          </cell>
          <cell r="FX11">
            <v>15065777.310000001</v>
          </cell>
          <cell r="FZ11">
            <v>15065777.310000001</v>
          </cell>
          <cell r="GB11">
            <v>0</v>
          </cell>
          <cell r="GD11">
            <v>5032587.97</v>
          </cell>
          <cell r="GF11">
            <v>5032587.97</v>
          </cell>
          <cell r="GH11">
            <v>0</v>
          </cell>
          <cell r="GX11">
            <v>235312.98</v>
          </cell>
          <cell r="GZ11">
            <v>235312.98</v>
          </cell>
          <cell r="HB11">
            <v>165616.07999999999</v>
          </cell>
          <cell r="HD11">
            <v>165616.07999999999</v>
          </cell>
          <cell r="HF11">
            <v>0</v>
          </cell>
          <cell r="HH11">
            <v>0</v>
          </cell>
          <cell r="HT11">
            <v>0</v>
          </cell>
          <cell r="HZ11">
            <v>0</v>
          </cell>
          <cell r="IB11">
            <v>21190000</v>
          </cell>
          <cell r="ID11">
            <v>19190000</v>
          </cell>
          <cell r="IH11">
            <v>114814</v>
          </cell>
          <cell r="IJ11">
            <v>1561397.34</v>
          </cell>
          <cell r="IL11">
            <v>0</v>
          </cell>
          <cell r="IN11">
            <v>8447154.7799999993</v>
          </cell>
          <cell r="IR11">
            <v>27870511</v>
          </cell>
          <cell r="IT11">
            <v>15000000</v>
          </cell>
          <cell r="JF11">
            <v>14000000</v>
          </cell>
          <cell r="JL11">
            <v>1060984.3700000001</v>
          </cell>
          <cell r="JN11">
            <v>1060984.3700000001</v>
          </cell>
          <cell r="JP11">
            <v>0</v>
          </cell>
          <cell r="JR11">
            <v>0</v>
          </cell>
          <cell r="JT11">
            <v>0</v>
          </cell>
          <cell r="JX11">
            <v>2316800</v>
          </cell>
          <cell r="JZ11">
            <v>600000</v>
          </cell>
          <cell r="KB11">
            <v>600000</v>
          </cell>
          <cell r="KF11">
            <v>1562750</v>
          </cell>
          <cell r="KH11">
            <v>1562750</v>
          </cell>
          <cell r="KN11">
            <v>0</v>
          </cell>
          <cell r="KV11">
            <v>271738.96999999997</v>
          </cell>
          <cell r="KX11">
            <v>684918</v>
          </cell>
          <cell r="KZ11">
            <v>176767.89</v>
          </cell>
          <cell r="LD11">
            <v>0</v>
          </cell>
          <cell r="LJ11">
            <v>870000</v>
          </cell>
          <cell r="LL11">
            <v>870000</v>
          </cell>
          <cell r="LP11">
            <v>16530000</v>
          </cell>
          <cell r="LR11">
            <v>16530000</v>
          </cell>
          <cell r="LT11">
            <v>12600000</v>
          </cell>
          <cell r="LV11">
            <v>5600000</v>
          </cell>
          <cell r="MF11">
            <v>301714.36</v>
          </cell>
          <cell r="MJ11">
            <v>775836.94</v>
          </cell>
          <cell r="MN11">
            <v>2289427.7799999998</v>
          </cell>
          <cell r="MP11">
            <v>5887100</v>
          </cell>
          <cell r="MZ11">
            <v>6800962.9500000002</v>
          </cell>
          <cell r="NF11">
            <v>0</v>
          </cell>
          <cell r="NH11">
            <v>0</v>
          </cell>
          <cell r="NJ11">
            <v>0</v>
          </cell>
          <cell r="NN11">
            <v>0</v>
          </cell>
        </row>
        <row r="12">
          <cell r="R12">
            <v>0</v>
          </cell>
          <cell r="AB12">
            <v>0</v>
          </cell>
          <cell r="AD12">
            <v>0</v>
          </cell>
          <cell r="AV12">
            <v>333481.84999999998</v>
          </cell>
          <cell r="BB12">
            <v>0</v>
          </cell>
          <cell r="BF12">
            <v>74863.16</v>
          </cell>
          <cell r="BH12">
            <v>1228338.1100000001</v>
          </cell>
          <cell r="CV12">
            <v>4155.57</v>
          </cell>
          <cell r="CX12">
            <v>4162.6499999999996</v>
          </cell>
          <cell r="CZ12">
            <v>2098.9899999999998</v>
          </cell>
          <cell r="DD12">
            <v>0</v>
          </cell>
          <cell r="DH12">
            <v>152457.89000000001</v>
          </cell>
          <cell r="DJ12">
            <v>0</v>
          </cell>
          <cell r="DL12">
            <v>0</v>
          </cell>
          <cell r="DP12">
            <v>4375.68</v>
          </cell>
          <cell r="DV12">
            <v>4979.5200000000004</v>
          </cell>
          <cell r="EF12">
            <v>279110.92</v>
          </cell>
          <cell r="EL12">
            <v>717708.89</v>
          </cell>
          <cell r="ET12">
            <v>484591.55</v>
          </cell>
          <cell r="FB12">
            <v>288000</v>
          </cell>
          <cell r="FH12">
            <v>4822410</v>
          </cell>
          <cell r="FN12">
            <v>3640814</v>
          </cell>
          <cell r="FV12">
            <v>0</v>
          </cell>
          <cell r="FX12">
            <v>33867129.159999996</v>
          </cell>
          <cell r="FZ12">
            <v>25290336.059999999</v>
          </cell>
          <cell r="GB12">
            <v>0</v>
          </cell>
          <cell r="GD12">
            <v>5090693.53</v>
          </cell>
          <cell r="GF12">
            <v>1891290.7599999998</v>
          </cell>
          <cell r="GH12">
            <v>92178.69</v>
          </cell>
          <cell r="GX12">
            <v>0</v>
          </cell>
          <cell r="HB12">
            <v>0</v>
          </cell>
          <cell r="HF12">
            <v>137085</v>
          </cell>
          <cell r="HH12">
            <v>0</v>
          </cell>
          <cell r="HT12">
            <v>0</v>
          </cell>
          <cell r="HZ12">
            <v>6980000</v>
          </cell>
          <cell r="IB12">
            <v>4509508</v>
          </cell>
          <cell r="ID12">
            <v>0</v>
          </cell>
          <cell r="IH12">
            <v>0</v>
          </cell>
          <cell r="IJ12">
            <v>2200023.56</v>
          </cell>
          <cell r="IL12">
            <v>0</v>
          </cell>
          <cell r="IN12">
            <v>0</v>
          </cell>
          <cell r="IR12">
            <v>15668019</v>
          </cell>
          <cell r="IT12">
            <v>10307513</v>
          </cell>
          <cell r="JF12">
            <v>0</v>
          </cell>
          <cell r="JL12">
            <v>0</v>
          </cell>
          <cell r="JN12">
            <v>0</v>
          </cell>
          <cell r="JP12">
            <v>0</v>
          </cell>
          <cell r="JR12">
            <v>0</v>
          </cell>
          <cell r="JT12">
            <v>0</v>
          </cell>
          <cell r="JX12">
            <v>0</v>
          </cell>
          <cell r="JZ12">
            <v>0</v>
          </cell>
          <cell r="KF12">
            <v>534625</v>
          </cell>
          <cell r="KH12">
            <v>534625</v>
          </cell>
          <cell r="KN12">
            <v>6108050</v>
          </cell>
          <cell r="KV12">
            <v>310448.36</v>
          </cell>
          <cell r="KX12">
            <v>383343.24</v>
          </cell>
          <cell r="KZ12">
            <v>132223.46</v>
          </cell>
          <cell r="LD12">
            <v>3942163</v>
          </cell>
          <cell r="LJ12">
            <v>870000</v>
          </cell>
          <cell r="LL12">
            <v>870000</v>
          </cell>
          <cell r="LP12">
            <v>16530000</v>
          </cell>
          <cell r="LR12">
            <v>16530000</v>
          </cell>
          <cell r="LT12">
            <v>6500000</v>
          </cell>
          <cell r="LV12">
            <v>0</v>
          </cell>
          <cell r="MF12">
            <v>1521303.56</v>
          </cell>
          <cell r="MJ12">
            <v>3911923.4</v>
          </cell>
          <cell r="NF12">
            <v>0</v>
          </cell>
          <cell r="NH12">
            <v>0</v>
          </cell>
          <cell r="NJ12">
            <v>0</v>
          </cell>
          <cell r="NN12">
            <v>0</v>
          </cell>
        </row>
        <row r="13">
          <cell r="R13">
            <v>0</v>
          </cell>
          <cell r="AB13">
            <v>0</v>
          </cell>
          <cell r="AD13">
            <v>0</v>
          </cell>
          <cell r="AV13">
            <v>454321.02</v>
          </cell>
          <cell r="BB13">
            <v>0</v>
          </cell>
          <cell r="BF13">
            <v>87533.43</v>
          </cell>
          <cell r="BH13">
            <v>0</v>
          </cell>
          <cell r="CV13">
            <v>27986.53</v>
          </cell>
          <cell r="CX13">
            <v>0</v>
          </cell>
          <cell r="DD13">
            <v>0</v>
          </cell>
          <cell r="DH13">
            <v>183622.93</v>
          </cell>
          <cell r="DJ13">
            <v>0</v>
          </cell>
          <cell r="DL13">
            <v>0</v>
          </cell>
          <cell r="ED13">
            <v>259233.57</v>
          </cell>
          <cell r="EF13">
            <v>0</v>
          </cell>
          <cell r="EJ13">
            <v>666596.05000000005</v>
          </cell>
          <cell r="EL13">
            <v>0</v>
          </cell>
          <cell r="ET13">
            <v>1328235.8599999999</v>
          </cell>
          <cell r="FF13">
            <v>31106021.690000001</v>
          </cell>
          <cell r="FH13">
            <v>931622</v>
          </cell>
          <cell r="FN13">
            <v>0</v>
          </cell>
          <cell r="FV13">
            <v>0</v>
          </cell>
          <cell r="FX13">
            <v>0</v>
          </cell>
          <cell r="GB13">
            <v>0</v>
          </cell>
          <cell r="GD13">
            <v>0</v>
          </cell>
          <cell r="GH13">
            <v>0</v>
          </cell>
          <cell r="GX13">
            <v>0</v>
          </cell>
          <cell r="HB13">
            <v>0</v>
          </cell>
          <cell r="HF13">
            <v>0</v>
          </cell>
          <cell r="HH13">
            <v>0</v>
          </cell>
          <cell r="HT13">
            <v>0</v>
          </cell>
          <cell r="HZ13">
            <v>6000000</v>
          </cell>
          <cell r="IB13">
            <v>11300000</v>
          </cell>
          <cell r="IH13">
            <v>1031200</v>
          </cell>
          <cell r="IJ13">
            <v>1402712.6600000001</v>
          </cell>
          <cell r="IL13">
            <v>0</v>
          </cell>
          <cell r="IN13">
            <v>0</v>
          </cell>
          <cell r="IR13">
            <v>26487104</v>
          </cell>
          <cell r="IT13">
            <v>0</v>
          </cell>
          <cell r="JF13">
            <v>0</v>
          </cell>
          <cell r="JL13">
            <v>0</v>
          </cell>
          <cell r="JN13">
            <v>0</v>
          </cell>
          <cell r="JP13">
            <v>0</v>
          </cell>
          <cell r="JR13">
            <v>0</v>
          </cell>
          <cell r="JT13">
            <v>0</v>
          </cell>
          <cell r="JX13">
            <v>0</v>
          </cell>
          <cell r="JZ13">
            <v>0</v>
          </cell>
          <cell r="KF13">
            <v>0</v>
          </cell>
          <cell r="KH13">
            <v>0</v>
          </cell>
          <cell r="KN13">
            <v>0</v>
          </cell>
          <cell r="KV13">
            <v>374019.72</v>
          </cell>
          <cell r="KX13">
            <v>363441.58000000007</v>
          </cell>
          <cell r="LD13">
            <v>904991</v>
          </cell>
          <cell r="LT13">
            <v>7500000</v>
          </cell>
          <cell r="MF13">
            <v>1658351.55</v>
          </cell>
          <cell r="MJ13">
            <v>4264332.53</v>
          </cell>
          <cell r="NF13">
            <v>0</v>
          </cell>
          <cell r="NH13">
            <v>0</v>
          </cell>
          <cell r="NJ13">
            <v>0</v>
          </cell>
          <cell r="NN13">
            <v>0</v>
          </cell>
        </row>
        <row r="14">
          <cell r="R14">
            <v>0</v>
          </cell>
          <cell r="X14">
            <v>141400</v>
          </cell>
          <cell r="Z14">
            <v>363600</v>
          </cell>
          <cell r="AB14">
            <v>0</v>
          </cell>
          <cell r="AD14">
            <v>0</v>
          </cell>
          <cell r="AV14">
            <v>277059.42</v>
          </cell>
          <cell r="BB14">
            <v>0</v>
          </cell>
          <cell r="BF14">
            <v>100384.69</v>
          </cell>
          <cell r="BH14">
            <v>3688576.09</v>
          </cell>
          <cell r="CV14">
            <v>8395.9599999999991</v>
          </cell>
          <cell r="CX14">
            <v>0</v>
          </cell>
          <cell r="DD14">
            <v>0</v>
          </cell>
          <cell r="DH14">
            <v>160536.26999999999</v>
          </cell>
          <cell r="DJ14">
            <v>0</v>
          </cell>
          <cell r="DL14">
            <v>0</v>
          </cell>
          <cell r="ED14">
            <v>55971.040000000001</v>
          </cell>
          <cell r="EF14">
            <v>278573.72000000003</v>
          </cell>
          <cell r="EJ14">
            <v>143924.56</v>
          </cell>
          <cell r="EL14">
            <v>716327.54</v>
          </cell>
          <cell r="ET14">
            <v>866544.54</v>
          </cell>
          <cell r="FH14">
            <v>24041105</v>
          </cell>
          <cell r="FN14">
            <v>0</v>
          </cell>
          <cell r="FV14">
            <v>0</v>
          </cell>
          <cell r="FX14">
            <v>0</v>
          </cell>
          <cell r="GB14">
            <v>0</v>
          </cell>
          <cell r="GD14">
            <v>0</v>
          </cell>
          <cell r="GH14">
            <v>91911.41</v>
          </cell>
          <cell r="GX14">
            <v>325861.44</v>
          </cell>
          <cell r="HB14">
            <v>229345.17</v>
          </cell>
          <cell r="HF14">
            <v>113035</v>
          </cell>
          <cell r="HH14">
            <v>0</v>
          </cell>
          <cell r="HT14">
            <v>0</v>
          </cell>
          <cell r="HZ14">
            <v>0</v>
          </cell>
          <cell r="IB14">
            <v>0</v>
          </cell>
          <cell r="IH14">
            <v>0</v>
          </cell>
          <cell r="IJ14">
            <v>865340.15999999992</v>
          </cell>
          <cell r="IL14">
            <v>5502901</v>
          </cell>
          <cell r="IN14">
            <v>0</v>
          </cell>
          <cell r="IR14">
            <v>21867220</v>
          </cell>
          <cell r="IT14">
            <v>0</v>
          </cell>
          <cell r="JF14">
            <v>0</v>
          </cell>
          <cell r="JL14">
            <v>0</v>
          </cell>
          <cell r="JN14">
            <v>0</v>
          </cell>
          <cell r="JP14">
            <v>0</v>
          </cell>
          <cell r="JR14">
            <v>0</v>
          </cell>
          <cell r="JT14">
            <v>0</v>
          </cell>
          <cell r="JX14">
            <v>0</v>
          </cell>
          <cell r="JZ14">
            <v>0</v>
          </cell>
          <cell r="KF14">
            <v>0</v>
          </cell>
          <cell r="KH14">
            <v>0</v>
          </cell>
          <cell r="KN14">
            <v>0</v>
          </cell>
          <cell r="KV14">
            <v>131982.89000000001</v>
          </cell>
          <cell r="KX14">
            <v>589376.29</v>
          </cell>
          <cell r="LD14">
            <v>6411104</v>
          </cell>
          <cell r="LT14">
            <v>18948093</v>
          </cell>
          <cell r="LX14">
            <v>7794033.3300000001</v>
          </cell>
          <cell r="MB14">
            <v>20041800</v>
          </cell>
          <cell r="MF14">
            <v>3319082.96</v>
          </cell>
          <cell r="MJ14">
            <v>8534784.7599999998</v>
          </cell>
          <cell r="NF14">
            <v>25824672.219999999</v>
          </cell>
          <cell r="NH14">
            <v>66406300</v>
          </cell>
          <cell r="NJ14">
            <v>0</v>
          </cell>
          <cell r="NN14">
            <v>0</v>
          </cell>
        </row>
        <row r="15">
          <cell r="R15">
            <v>0</v>
          </cell>
          <cell r="AB15">
            <v>0</v>
          </cell>
          <cell r="AD15">
            <v>322939</v>
          </cell>
          <cell r="AR15">
            <v>69613420</v>
          </cell>
          <cell r="AT15">
            <v>24211700</v>
          </cell>
          <cell r="AV15">
            <v>400009.79</v>
          </cell>
          <cell r="BB15">
            <v>0</v>
          </cell>
          <cell r="BF15">
            <v>69354.61</v>
          </cell>
          <cell r="BH15">
            <v>338085.59</v>
          </cell>
          <cell r="CV15">
            <v>4897.6400000000003</v>
          </cell>
          <cell r="CX15">
            <v>0</v>
          </cell>
          <cell r="DD15">
            <v>0</v>
          </cell>
          <cell r="DH15">
            <v>59337.79</v>
          </cell>
          <cell r="DJ15">
            <v>0</v>
          </cell>
          <cell r="DL15">
            <v>0</v>
          </cell>
          <cell r="ED15">
            <v>106062.15</v>
          </cell>
          <cell r="EF15">
            <v>265620.55</v>
          </cell>
          <cell r="EJ15">
            <v>272729.38</v>
          </cell>
          <cell r="EL15">
            <v>683019.62</v>
          </cell>
          <cell r="ET15">
            <v>653237.90999999992</v>
          </cell>
          <cell r="FH15">
            <v>16978415</v>
          </cell>
          <cell r="FN15">
            <v>799576</v>
          </cell>
          <cell r="FV15">
            <v>0</v>
          </cell>
          <cell r="FX15">
            <v>0</v>
          </cell>
          <cell r="GB15">
            <v>0</v>
          </cell>
          <cell r="GD15">
            <v>0</v>
          </cell>
          <cell r="GH15">
            <v>74033.179999999993</v>
          </cell>
          <cell r="GJ15">
            <v>156812.46</v>
          </cell>
          <cell r="GX15">
            <v>918973.29999999993</v>
          </cell>
          <cell r="HB15">
            <v>646784.37999999989</v>
          </cell>
          <cell r="HF15">
            <v>0</v>
          </cell>
          <cell r="HH15">
            <v>0</v>
          </cell>
          <cell r="HT15">
            <v>0</v>
          </cell>
          <cell r="HZ15">
            <v>3500000</v>
          </cell>
          <cell r="IB15">
            <v>0</v>
          </cell>
          <cell r="IH15">
            <v>0</v>
          </cell>
          <cell r="IJ15">
            <v>338288.13</v>
          </cell>
          <cell r="IL15">
            <v>14587906</v>
          </cell>
          <cell r="IN15">
            <v>0</v>
          </cell>
          <cell r="IR15">
            <v>19744463</v>
          </cell>
          <cell r="IT15">
            <v>0</v>
          </cell>
          <cell r="JF15">
            <v>0</v>
          </cell>
          <cell r="JL15">
            <v>0</v>
          </cell>
          <cell r="JN15">
            <v>0</v>
          </cell>
          <cell r="JP15">
            <v>0</v>
          </cell>
          <cell r="JR15">
            <v>0</v>
          </cell>
          <cell r="JT15">
            <v>0</v>
          </cell>
          <cell r="JX15">
            <v>0</v>
          </cell>
          <cell r="JZ15">
            <v>0</v>
          </cell>
          <cell r="KF15">
            <v>0</v>
          </cell>
          <cell r="KH15">
            <v>0</v>
          </cell>
          <cell r="KN15">
            <v>0</v>
          </cell>
          <cell r="KV15">
            <v>208459.02</v>
          </cell>
          <cell r="KX15">
            <v>473247.55999999994</v>
          </cell>
          <cell r="LD15">
            <v>2615995</v>
          </cell>
          <cell r="LT15">
            <v>7000000</v>
          </cell>
          <cell r="MF15">
            <v>406530.61</v>
          </cell>
          <cell r="MJ15">
            <v>1045364.4099999999</v>
          </cell>
          <cell r="NF15">
            <v>0</v>
          </cell>
          <cell r="NH15">
            <v>0</v>
          </cell>
          <cell r="NJ15">
            <v>0</v>
          </cell>
          <cell r="NN15">
            <v>0</v>
          </cell>
        </row>
        <row r="16">
          <cell r="R16">
            <v>0</v>
          </cell>
          <cell r="AB16">
            <v>0</v>
          </cell>
          <cell r="AD16">
            <v>0</v>
          </cell>
          <cell r="AJ16">
            <v>120407.36</v>
          </cell>
          <cell r="AL16">
            <v>2859675</v>
          </cell>
          <cell r="AV16">
            <v>120002.94</v>
          </cell>
          <cell r="BB16">
            <v>305665</v>
          </cell>
          <cell r="BF16">
            <v>94574.47</v>
          </cell>
          <cell r="BH16">
            <v>3767990.23</v>
          </cell>
          <cell r="BJ16">
            <v>6471422.2199999997</v>
          </cell>
          <cell r="BL16">
            <v>16640800</v>
          </cell>
          <cell r="CV16">
            <v>11194.61</v>
          </cell>
          <cell r="CX16">
            <v>3462.9799999999996</v>
          </cell>
          <cell r="DD16">
            <v>0</v>
          </cell>
          <cell r="DH16">
            <v>136691.76999999999</v>
          </cell>
          <cell r="DJ16">
            <v>0</v>
          </cell>
          <cell r="DL16">
            <v>0</v>
          </cell>
          <cell r="DN16">
            <v>4576.67</v>
          </cell>
          <cell r="DT16">
            <v>5208.26</v>
          </cell>
          <cell r="ED16">
            <v>279110.90999999997</v>
          </cell>
          <cell r="EF16">
            <v>400058.98</v>
          </cell>
          <cell r="EJ16">
            <v>717708.89</v>
          </cell>
          <cell r="EL16">
            <v>1028716.07</v>
          </cell>
          <cell r="ET16">
            <v>2013276.91</v>
          </cell>
          <cell r="FF16">
            <v>10818315</v>
          </cell>
          <cell r="FH16">
            <v>19947056</v>
          </cell>
          <cell r="FN16">
            <v>0</v>
          </cell>
          <cell r="FV16">
            <v>35043774.009999998</v>
          </cell>
          <cell r="FX16">
            <v>0</v>
          </cell>
          <cell r="GB16">
            <v>12856597.6</v>
          </cell>
          <cell r="GD16">
            <v>0</v>
          </cell>
          <cell r="GH16">
            <v>81514.490000000005</v>
          </cell>
          <cell r="GX16">
            <v>1338817.0900000001</v>
          </cell>
          <cell r="HB16">
            <v>942275.44</v>
          </cell>
          <cell r="HF16">
            <v>136435</v>
          </cell>
          <cell r="HH16">
            <v>0</v>
          </cell>
          <cell r="HT16">
            <v>0</v>
          </cell>
          <cell r="HZ16">
            <v>0</v>
          </cell>
          <cell r="IB16">
            <v>3400000</v>
          </cell>
          <cell r="IH16">
            <v>0</v>
          </cell>
          <cell r="IJ16">
            <v>952477.27999999991</v>
          </cell>
          <cell r="IL16">
            <v>0</v>
          </cell>
          <cell r="IN16">
            <v>0</v>
          </cell>
          <cell r="IR16">
            <v>32304071</v>
          </cell>
          <cell r="IT16">
            <v>0</v>
          </cell>
          <cell r="JF16">
            <v>0</v>
          </cell>
          <cell r="JL16">
            <v>0</v>
          </cell>
          <cell r="JN16">
            <v>0</v>
          </cell>
          <cell r="JP16">
            <v>0</v>
          </cell>
          <cell r="JR16">
            <v>0</v>
          </cell>
          <cell r="JT16">
            <v>0</v>
          </cell>
          <cell r="JX16">
            <v>1000000</v>
          </cell>
          <cell r="JZ16">
            <v>0</v>
          </cell>
          <cell r="KF16">
            <v>0</v>
          </cell>
          <cell r="KH16">
            <v>0</v>
          </cell>
          <cell r="KN16">
            <v>0</v>
          </cell>
          <cell r="KV16">
            <v>304903.15999999997</v>
          </cell>
          <cell r="KX16">
            <v>499692.81</v>
          </cell>
          <cell r="LD16">
            <v>5290443</v>
          </cell>
          <cell r="LT16">
            <v>5705000</v>
          </cell>
          <cell r="MF16">
            <v>3355774.46</v>
          </cell>
          <cell r="MJ16">
            <v>8629134.3499999996</v>
          </cell>
          <cell r="NF16">
            <v>0</v>
          </cell>
          <cell r="NH16">
            <v>0</v>
          </cell>
          <cell r="NJ16">
            <v>0</v>
          </cell>
          <cell r="NN16">
            <v>0</v>
          </cell>
        </row>
        <row r="17">
          <cell r="R17">
            <v>0</v>
          </cell>
          <cell r="AB17">
            <v>0</v>
          </cell>
          <cell r="AD17">
            <v>0</v>
          </cell>
          <cell r="AJ17">
            <v>120407.37</v>
          </cell>
          <cell r="AL17">
            <v>2859675</v>
          </cell>
          <cell r="AV17">
            <v>308007.53999999998</v>
          </cell>
          <cell r="BB17">
            <v>0</v>
          </cell>
          <cell r="BF17">
            <v>52159.25</v>
          </cell>
          <cell r="BH17">
            <v>775919.58</v>
          </cell>
          <cell r="CL17">
            <v>8820000</v>
          </cell>
          <cell r="CR17">
            <v>22680000</v>
          </cell>
          <cell r="CV17">
            <v>6996.63</v>
          </cell>
          <cell r="CX17">
            <v>0</v>
          </cell>
          <cell r="DD17">
            <v>0</v>
          </cell>
          <cell r="DH17">
            <v>82502.58</v>
          </cell>
          <cell r="DJ17">
            <v>31649.429999999993</v>
          </cell>
          <cell r="DL17">
            <v>31649.429999999993</v>
          </cell>
          <cell r="ED17">
            <v>353540.49</v>
          </cell>
          <cell r="EF17">
            <v>433358.22</v>
          </cell>
          <cell r="EH17">
            <v>247212.45</v>
          </cell>
          <cell r="EJ17">
            <v>909097.93</v>
          </cell>
          <cell r="EL17">
            <v>1114342.08</v>
          </cell>
          <cell r="EN17">
            <v>635684.81000000006</v>
          </cell>
          <cell r="ET17">
            <v>489600.94</v>
          </cell>
          <cell r="FH17">
            <v>16948323</v>
          </cell>
          <cell r="FN17">
            <v>3180112</v>
          </cell>
          <cell r="FV17">
            <v>0</v>
          </cell>
          <cell r="FX17">
            <v>0</v>
          </cell>
          <cell r="GB17">
            <v>0</v>
          </cell>
          <cell r="GD17">
            <v>0</v>
          </cell>
          <cell r="GH17">
            <v>0</v>
          </cell>
          <cell r="GJ17">
            <v>92942.99</v>
          </cell>
          <cell r="GX17">
            <v>366391.87</v>
          </cell>
          <cell r="GZ17">
            <v>144077.99</v>
          </cell>
          <cell r="HB17">
            <v>257870.98</v>
          </cell>
          <cell r="HD17">
            <v>101403.81</v>
          </cell>
          <cell r="HF17">
            <v>123435</v>
          </cell>
          <cell r="HH17">
            <v>0</v>
          </cell>
          <cell r="HT17">
            <v>0</v>
          </cell>
          <cell r="HZ17">
            <v>0</v>
          </cell>
          <cell r="IB17">
            <v>5000000</v>
          </cell>
          <cell r="ID17">
            <v>0</v>
          </cell>
          <cell r="IH17">
            <v>0</v>
          </cell>
          <cell r="IJ17">
            <v>655758.52</v>
          </cell>
          <cell r="IL17">
            <v>10826793.75</v>
          </cell>
          <cell r="IN17">
            <v>10271822.25</v>
          </cell>
          <cell r="IR17">
            <v>18452881</v>
          </cell>
          <cell r="IT17">
            <v>0</v>
          </cell>
          <cell r="JF17">
            <v>0</v>
          </cell>
          <cell r="JL17">
            <v>0</v>
          </cell>
          <cell r="JN17">
            <v>0</v>
          </cell>
          <cell r="JP17">
            <v>0</v>
          </cell>
          <cell r="JR17">
            <v>0</v>
          </cell>
          <cell r="JT17">
            <v>0</v>
          </cell>
          <cell r="JX17">
            <v>0</v>
          </cell>
          <cell r="JZ17">
            <v>0</v>
          </cell>
          <cell r="KF17">
            <v>546375</v>
          </cell>
          <cell r="KH17">
            <v>546375</v>
          </cell>
          <cell r="KN17">
            <v>0</v>
          </cell>
          <cell r="KV17">
            <v>53622.9</v>
          </cell>
          <cell r="KX17">
            <v>534821.55999999994</v>
          </cell>
          <cell r="KZ17">
            <v>68898.37</v>
          </cell>
          <cell r="LD17">
            <v>748484</v>
          </cell>
          <cell r="LJ17">
            <v>870000</v>
          </cell>
          <cell r="LL17">
            <v>870000</v>
          </cell>
          <cell r="LP17">
            <v>16530000</v>
          </cell>
          <cell r="LR17">
            <v>16530000</v>
          </cell>
          <cell r="LT17">
            <v>9157754</v>
          </cell>
          <cell r="LV17">
            <v>0</v>
          </cell>
          <cell r="MF17">
            <v>1493486.4700000002</v>
          </cell>
          <cell r="MJ17">
            <v>3840393.83</v>
          </cell>
          <cell r="NF17">
            <v>0</v>
          </cell>
          <cell r="NH17">
            <v>0</v>
          </cell>
          <cell r="NJ17">
            <v>0</v>
          </cell>
          <cell r="NN17">
            <v>0</v>
          </cell>
        </row>
        <row r="18">
          <cell r="R18">
            <v>0</v>
          </cell>
          <cell r="AB18">
            <v>0</v>
          </cell>
          <cell r="AD18">
            <v>566560</v>
          </cell>
          <cell r="AV18">
            <v>403209.87</v>
          </cell>
          <cell r="BB18">
            <v>0</v>
          </cell>
          <cell r="BF18">
            <v>73940.039999999994</v>
          </cell>
          <cell r="BH18">
            <v>574745.51</v>
          </cell>
          <cell r="BZ18">
            <v>7439226</v>
          </cell>
          <cell r="CB18">
            <v>141345300</v>
          </cell>
          <cell r="CV18">
            <v>26587.200000000001</v>
          </cell>
          <cell r="CX18">
            <v>0</v>
          </cell>
          <cell r="DD18">
            <v>0</v>
          </cell>
          <cell r="DH18">
            <v>81424.42</v>
          </cell>
          <cell r="DJ18">
            <v>0</v>
          </cell>
          <cell r="DL18">
            <v>0</v>
          </cell>
          <cell r="DN18">
            <v>71304.56</v>
          </cell>
          <cell r="DT18">
            <v>81144.58</v>
          </cell>
          <cell r="ED18">
            <v>353540.49</v>
          </cell>
          <cell r="EF18">
            <v>0</v>
          </cell>
          <cell r="EJ18">
            <v>909097.93</v>
          </cell>
          <cell r="EL18">
            <v>0</v>
          </cell>
          <cell r="ET18">
            <v>974835.32000000007</v>
          </cell>
          <cell r="FH18">
            <v>0</v>
          </cell>
          <cell r="FN18">
            <v>5364472</v>
          </cell>
          <cell r="FV18">
            <v>0</v>
          </cell>
          <cell r="FX18">
            <v>0</v>
          </cell>
          <cell r="GB18">
            <v>0</v>
          </cell>
          <cell r="GD18">
            <v>0</v>
          </cell>
          <cell r="GH18">
            <v>0</v>
          </cell>
          <cell r="GJ18">
            <v>255096.41</v>
          </cell>
          <cell r="GX18">
            <v>1619246.04</v>
          </cell>
          <cell r="HB18">
            <v>1139644.7000000002</v>
          </cell>
          <cell r="HF18">
            <v>0</v>
          </cell>
          <cell r="HH18">
            <v>0</v>
          </cell>
          <cell r="HT18">
            <v>0</v>
          </cell>
          <cell r="HZ18">
            <v>3400000</v>
          </cell>
          <cell r="IB18">
            <v>2499800</v>
          </cell>
          <cell r="IH18">
            <v>0</v>
          </cell>
          <cell r="IJ18">
            <v>1047330.1799999999</v>
          </cell>
          <cell r="IL18">
            <v>27047982</v>
          </cell>
          <cell r="IN18">
            <v>0</v>
          </cell>
          <cell r="IR18">
            <v>20446274</v>
          </cell>
          <cell r="IT18">
            <v>0</v>
          </cell>
          <cell r="JF18">
            <v>0</v>
          </cell>
          <cell r="JL18">
            <v>0</v>
          </cell>
          <cell r="JN18">
            <v>0</v>
          </cell>
          <cell r="JP18">
            <v>0</v>
          </cell>
          <cell r="JR18">
            <v>0</v>
          </cell>
          <cell r="JT18">
            <v>0</v>
          </cell>
          <cell r="JX18">
            <v>0</v>
          </cell>
          <cell r="JZ18">
            <v>0</v>
          </cell>
          <cell r="KF18">
            <v>0</v>
          </cell>
          <cell r="KH18">
            <v>0</v>
          </cell>
          <cell r="KN18">
            <v>0</v>
          </cell>
          <cell r="KV18">
            <v>80434.350000000006</v>
          </cell>
          <cell r="KX18">
            <v>562391.19000000006</v>
          </cell>
          <cell r="LD18">
            <v>3175730</v>
          </cell>
          <cell r="LT18">
            <v>7000000</v>
          </cell>
          <cell r="MF18">
            <v>606577.27</v>
          </cell>
          <cell r="MJ18">
            <v>1559770.13</v>
          </cell>
          <cell r="MN18">
            <v>1441844.44</v>
          </cell>
          <cell r="MP18">
            <v>3707600</v>
          </cell>
          <cell r="MZ18">
            <v>1635484.33</v>
          </cell>
          <cell r="NF18">
            <v>0</v>
          </cell>
          <cell r="NH18">
            <v>0</v>
          </cell>
          <cell r="NJ18">
            <v>0</v>
          </cell>
          <cell r="NN18">
            <v>0</v>
          </cell>
        </row>
        <row r="19">
          <cell r="R19">
            <v>0</v>
          </cell>
          <cell r="AB19">
            <v>1000000</v>
          </cell>
          <cell r="AD19">
            <v>0</v>
          </cell>
          <cell r="AV19">
            <v>77475.58</v>
          </cell>
          <cell r="BB19">
            <v>0</v>
          </cell>
          <cell r="BF19">
            <v>36635.160000000003</v>
          </cell>
          <cell r="BH19">
            <v>3637880.06</v>
          </cell>
          <cell r="CV19">
            <v>6996.63</v>
          </cell>
          <cell r="CX19">
            <v>6233.38</v>
          </cell>
          <cell r="DD19">
            <v>0</v>
          </cell>
          <cell r="DH19">
            <v>76010.19</v>
          </cell>
          <cell r="DJ19">
            <v>0</v>
          </cell>
          <cell r="DL19">
            <v>0</v>
          </cell>
          <cell r="ED19">
            <v>111272.22</v>
          </cell>
          <cell r="EF19">
            <v>139154.09</v>
          </cell>
          <cell r="EJ19">
            <v>286126.61</v>
          </cell>
          <cell r="EL19">
            <v>357822.38</v>
          </cell>
          <cell r="ET19">
            <v>495459.41000000003</v>
          </cell>
          <cell r="FH19">
            <v>15768143</v>
          </cell>
          <cell r="FN19">
            <v>0</v>
          </cell>
          <cell r="FV19">
            <v>0</v>
          </cell>
          <cell r="FX19">
            <v>0</v>
          </cell>
          <cell r="GB19">
            <v>0</v>
          </cell>
          <cell r="GD19">
            <v>0</v>
          </cell>
          <cell r="GH19">
            <v>66514.240000000005</v>
          </cell>
          <cell r="GX19">
            <v>0</v>
          </cell>
          <cell r="HB19">
            <v>0</v>
          </cell>
          <cell r="HF19">
            <v>113035</v>
          </cell>
          <cell r="HH19">
            <v>0</v>
          </cell>
          <cell r="HT19">
            <v>0</v>
          </cell>
          <cell r="HZ19">
            <v>0</v>
          </cell>
          <cell r="IB19">
            <v>2000000</v>
          </cell>
          <cell r="IH19">
            <v>977500</v>
          </cell>
          <cell r="IJ19">
            <v>367285.48</v>
          </cell>
          <cell r="IL19">
            <v>0</v>
          </cell>
          <cell r="IN19">
            <v>0</v>
          </cell>
          <cell r="IR19">
            <v>8208948</v>
          </cell>
          <cell r="IT19">
            <v>0</v>
          </cell>
          <cell r="JF19">
            <v>0</v>
          </cell>
          <cell r="JL19">
            <v>0</v>
          </cell>
          <cell r="JN19">
            <v>0</v>
          </cell>
          <cell r="JP19">
            <v>0</v>
          </cell>
          <cell r="JR19">
            <v>0</v>
          </cell>
          <cell r="JT19">
            <v>0</v>
          </cell>
          <cell r="JX19">
            <v>0</v>
          </cell>
          <cell r="JZ19">
            <v>0</v>
          </cell>
          <cell r="KF19">
            <v>0</v>
          </cell>
          <cell r="KH19">
            <v>0</v>
          </cell>
          <cell r="KN19">
            <v>0</v>
          </cell>
          <cell r="KV19">
            <v>245367.1</v>
          </cell>
          <cell r="KX19">
            <v>301845.38</v>
          </cell>
          <cell r="LD19">
            <v>2247194</v>
          </cell>
          <cell r="LT19">
            <v>7000000</v>
          </cell>
          <cell r="MF19">
            <v>1437824.98</v>
          </cell>
          <cell r="MJ19">
            <v>3697264.27</v>
          </cell>
          <cell r="NF19">
            <v>0</v>
          </cell>
          <cell r="NH19">
            <v>0</v>
          </cell>
          <cell r="NJ19">
            <v>0</v>
          </cell>
          <cell r="NN19">
            <v>0</v>
          </cell>
        </row>
        <row r="20">
          <cell r="R20">
            <v>0</v>
          </cell>
          <cell r="T20">
            <v>1036000</v>
          </cell>
          <cell r="V20">
            <v>2664000</v>
          </cell>
          <cell r="AB20">
            <v>0</v>
          </cell>
          <cell r="AD20">
            <v>0</v>
          </cell>
          <cell r="AN20">
            <v>1263157.8999999999</v>
          </cell>
          <cell r="AP20">
            <v>40000000</v>
          </cell>
          <cell r="AV20">
            <v>199162.77</v>
          </cell>
          <cell r="BB20">
            <v>0</v>
          </cell>
          <cell r="BF20">
            <v>85095.91</v>
          </cell>
          <cell r="BH20">
            <v>1595795.23</v>
          </cell>
          <cell r="BN20">
            <v>926722.23</v>
          </cell>
          <cell r="BP20">
            <v>2383000</v>
          </cell>
          <cell r="CV20">
            <v>13851.92</v>
          </cell>
          <cell r="CX20">
            <v>10968.460000000001</v>
          </cell>
          <cell r="CZ20">
            <v>10968.46</v>
          </cell>
          <cell r="DD20">
            <v>0</v>
          </cell>
          <cell r="DH20">
            <v>127964.94</v>
          </cell>
          <cell r="DJ20">
            <v>0</v>
          </cell>
          <cell r="DL20">
            <v>0</v>
          </cell>
          <cell r="ED20">
            <v>171453.93</v>
          </cell>
          <cell r="EF20">
            <v>916165.95</v>
          </cell>
          <cell r="EH20">
            <v>521007.04</v>
          </cell>
          <cell r="EJ20">
            <v>440878.52</v>
          </cell>
          <cell r="EL20">
            <v>2355839.2400000002</v>
          </cell>
          <cell r="EN20">
            <v>1339723.26</v>
          </cell>
          <cell r="ET20">
            <v>1171010.46</v>
          </cell>
          <cell r="FB20">
            <v>1287560</v>
          </cell>
          <cell r="FF20">
            <v>13821650</v>
          </cell>
          <cell r="FH20">
            <v>0</v>
          </cell>
          <cell r="FN20">
            <v>0</v>
          </cell>
          <cell r="FV20">
            <v>0</v>
          </cell>
          <cell r="FX20">
            <v>35464825.579999998</v>
          </cell>
          <cell r="FZ20">
            <v>35464825.579999998</v>
          </cell>
          <cell r="GB20">
            <v>0</v>
          </cell>
          <cell r="GD20">
            <v>12732570.309999999</v>
          </cell>
          <cell r="GF20">
            <v>12732570.309999999</v>
          </cell>
          <cell r="GH20">
            <v>100428.2</v>
          </cell>
          <cell r="GJ20">
            <v>105185.48</v>
          </cell>
          <cell r="GX20">
            <v>0</v>
          </cell>
          <cell r="HB20">
            <v>0</v>
          </cell>
          <cell r="HF20">
            <v>0</v>
          </cell>
          <cell r="HH20">
            <v>0</v>
          </cell>
          <cell r="HT20">
            <v>5050157.8899999997</v>
          </cell>
          <cell r="HZ20">
            <v>0</v>
          </cell>
          <cell r="IB20">
            <v>11095083.5</v>
          </cell>
          <cell r="ID20">
            <v>10035083.5</v>
          </cell>
          <cell r="IH20">
            <v>0</v>
          </cell>
          <cell r="IJ20">
            <v>624299.56999999995</v>
          </cell>
          <cell r="IL20">
            <v>0</v>
          </cell>
          <cell r="IN20">
            <v>9791360</v>
          </cell>
          <cell r="IR20">
            <v>16591112</v>
          </cell>
          <cell r="IT20">
            <v>23816649</v>
          </cell>
          <cell r="IZ20">
            <v>2098391.65</v>
          </cell>
          <cell r="JB20">
            <v>2098391.65</v>
          </cell>
          <cell r="JF20">
            <v>0</v>
          </cell>
          <cell r="JL20">
            <v>609998.29</v>
          </cell>
          <cell r="JN20">
            <v>609998.29</v>
          </cell>
          <cell r="JP20">
            <v>0</v>
          </cell>
          <cell r="JR20">
            <v>0</v>
          </cell>
          <cell r="JT20">
            <v>0</v>
          </cell>
          <cell r="JX20">
            <v>0</v>
          </cell>
          <cell r="JZ20">
            <v>3000000</v>
          </cell>
          <cell r="KF20">
            <v>470000</v>
          </cell>
          <cell r="KH20">
            <v>470000</v>
          </cell>
          <cell r="KN20">
            <v>0</v>
          </cell>
          <cell r="KV20">
            <v>281548.44</v>
          </cell>
          <cell r="KX20">
            <v>574007.31000000006</v>
          </cell>
          <cell r="KZ20">
            <v>125181.56</v>
          </cell>
          <cell r="LD20">
            <v>3053933</v>
          </cell>
          <cell r="LJ20">
            <v>870000</v>
          </cell>
          <cell r="LL20">
            <v>870000</v>
          </cell>
          <cell r="LP20">
            <v>16530000</v>
          </cell>
          <cell r="LR20">
            <v>16530000</v>
          </cell>
          <cell r="LT20">
            <v>2000000</v>
          </cell>
          <cell r="LV20">
            <v>0</v>
          </cell>
          <cell r="MF20">
            <v>1580998.32</v>
          </cell>
          <cell r="MJ20">
            <v>4065424.2800000003</v>
          </cell>
          <cell r="NF20">
            <v>0</v>
          </cell>
          <cell r="NH20">
            <v>0</v>
          </cell>
          <cell r="NJ20">
            <v>0</v>
          </cell>
          <cell r="NN20">
            <v>0</v>
          </cell>
        </row>
        <row r="21">
          <cell r="R21">
            <v>2162444.44</v>
          </cell>
          <cell r="AB21">
            <v>0</v>
          </cell>
          <cell r="AD21">
            <v>142018</v>
          </cell>
          <cell r="AV21">
            <v>197899.58</v>
          </cell>
          <cell r="BB21">
            <v>0</v>
          </cell>
          <cell r="BF21">
            <v>90743.23</v>
          </cell>
          <cell r="BH21">
            <v>2341687.58</v>
          </cell>
          <cell r="CV21">
            <v>7696.29</v>
          </cell>
          <cell r="CX21">
            <v>9703.41</v>
          </cell>
          <cell r="DD21">
            <v>0</v>
          </cell>
          <cell r="DH21">
            <v>95354.54</v>
          </cell>
          <cell r="DJ21">
            <v>0</v>
          </cell>
          <cell r="DL21">
            <v>0</v>
          </cell>
          <cell r="DN21">
            <v>99355.22</v>
          </cell>
          <cell r="DT21">
            <v>113066.24000000001</v>
          </cell>
          <cell r="ED21">
            <v>58303.1</v>
          </cell>
          <cell r="EF21">
            <v>228323.91</v>
          </cell>
          <cell r="EJ21">
            <v>149921.26</v>
          </cell>
          <cell r="EL21">
            <v>587114.56000000006</v>
          </cell>
          <cell r="ET21">
            <v>417952.91</v>
          </cell>
          <cell r="FH21">
            <v>2221158.2000000002</v>
          </cell>
          <cell r="FN21">
            <v>0</v>
          </cell>
          <cell r="FV21">
            <v>0</v>
          </cell>
          <cell r="FX21">
            <v>0</v>
          </cell>
          <cell r="FZ21">
            <v>0</v>
          </cell>
          <cell r="GB21">
            <v>0</v>
          </cell>
          <cell r="GD21">
            <v>0</v>
          </cell>
          <cell r="GF21">
            <v>0</v>
          </cell>
          <cell r="GH21">
            <v>71363.8</v>
          </cell>
          <cell r="GJ21">
            <v>55272.61</v>
          </cell>
          <cell r="GX21">
            <v>30984.51</v>
          </cell>
          <cell r="HB21">
            <v>21807.27</v>
          </cell>
          <cell r="HF21">
            <v>117585</v>
          </cell>
          <cell r="HH21">
            <v>0</v>
          </cell>
          <cell r="HT21">
            <v>0</v>
          </cell>
          <cell r="HZ21">
            <v>7000000</v>
          </cell>
          <cell r="IB21">
            <v>0</v>
          </cell>
          <cell r="IH21">
            <v>0</v>
          </cell>
          <cell r="IJ21">
            <v>537536.30000000005</v>
          </cell>
          <cell r="IL21">
            <v>14909622.199999999</v>
          </cell>
          <cell r="IN21">
            <v>0</v>
          </cell>
          <cell r="IR21">
            <v>11877910</v>
          </cell>
          <cell r="IT21">
            <v>0</v>
          </cell>
          <cell r="JF21">
            <v>0</v>
          </cell>
          <cell r="JL21">
            <v>0</v>
          </cell>
          <cell r="JN21">
            <v>0</v>
          </cell>
          <cell r="JP21">
            <v>0</v>
          </cell>
          <cell r="JR21">
            <v>0</v>
          </cell>
          <cell r="JT21">
            <v>0</v>
          </cell>
          <cell r="JX21">
            <v>0</v>
          </cell>
          <cell r="JZ21">
            <v>0</v>
          </cell>
          <cell r="KF21">
            <v>0</v>
          </cell>
          <cell r="KH21">
            <v>0</v>
          </cell>
          <cell r="KN21">
            <v>0</v>
          </cell>
          <cell r="KV21">
            <v>197642.72</v>
          </cell>
          <cell r="KX21">
            <v>431155.83000000007</v>
          </cell>
          <cell r="LD21">
            <v>1654400</v>
          </cell>
          <cell r="LT21">
            <v>4000000</v>
          </cell>
          <cell r="MF21">
            <v>1996173.6800000002</v>
          </cell>
          <cell r="MJ21">
            <v>5133018.0600000005</v>
          </cell>
          <cell r="NF21">
            <v>0</v>
          </cell>
          <cell r="NH21">
            <v>0</v>
          </cell>
          <cell r="NJ21">
            <v>0</v>
          </cell>
          <cell r="NN21">
            <v>0</v>
          </cell>
        </row>
        <row r="22">
          <cell r="R22">
            <v>420000</v>
          </cell>
          <cell r="AB22">
            <v>0</v>
          </cell>
          <cell r="AD22">
            <v>0</v>
          </cell>
          <cell r="AV22">
            <v>189478.32</v>
          </cell>
          <cell r="BB22">
            <v>0</v>
          </cell>
          <cell r="BF22">
            <v>122177.55</v>
          </cell>
          <cell r="BH22">
            <v>1014256.78</v>
          </cell>
          <cell r="BN22">
            <v>926722.22</v>
          </cell>
          <cell r="BP22">
            <v>2383000</v>
          </cell>
          <cell r="CV22">
            <v>10388.94</v>
          </cell>
          <cell r="CX22">
            <v>0</v>
          </cell>
          <cell r="DD22">
            <v>63679506.950000003</v>
          </cell>
          <cell r="DH22">
            <v>182990.09</v>
          </cell>
          <cell r="DJ22">
            <v>0</v>
          </cell>
          <cell r="DL22">
            <v>0</v>
          </cell>
          <cell r="EF22">
            <v>164489.37</v>
          </cell>
          <cell r="EL22">
            <v>422969.77</v>
          </cell>
          <cell r="ET22">
            <v>707383.3</v>
          </cell>
          <cell r="FB22">
            <v>480000</v>
          </cell>
          <cell r="FH22">
            <v>0</v>
          </cell>
          <cell r="FN22">
            <v>18179400</v>
          </cell>
          <cell r="FV22">
            <v>0</v>
          </cell>
          <cell r="FX22">
            <v>0</v>
          </cell>
          <cell r="FZ22">
            <v>0</v>
          </cell>
          <cell r="GB22">
            <v>0</v>
          </cell>
          <cell r="GD22">
            <v>0</v>
          </cell>
          <cell r="GF22">
            <v>0</v>
          </cell>
          <cell r="GH22">
            <v>117885.85</v>
          </cell>
          <cell r="GX22">
            <v>0</v>
          </cell>
          <cell r="HB22">
            <v>0</v>
          </cell>
          <cell r="HF22">
            <v>0</v>
          </cell>
          <cell r="HH22">
            <v>0</v>
          </cell>
          <cell r="HT22">
            <v>0</v>
          </cell>
          <cell r="HZ22">
            <v>0</v>
          </cell>
          <cell r="IB22">
            <v>588298.02</v>
          </cell>
          <cell r="IH22">
            <v>1800000</v>
          </cell>
          <cell r="IJ22">
            <v>2638669.38</v>
          </cell>
          <cell r="IL22">
            <v>3848369</v>
          </cell>
          <cell r="IN22">
            <v>0</v>
          </cell>
          <cell r="IR22">
            <v>39518275</v>
          </cell>
          <cell r="IT22">
            <v>0</v>
          </cell>
          <cell r="JF22">
            <v>0</v>
          </cell>
          <cell r="JL22">
            <v>0</v>
          </cell>
          <cell r="JN22">
            <v>0</v>
          </cell>
          <cell r="JP22">
            <v>0</v>
          </cell>
          <cell r="JR22">
            <v>0</v>
          </cell>
          <cell r="JT22">
            <v>0</v>
          </cell>
          <cell r="JX22">
            <v>0</v>
          </cell>
          <cell r="JZ22">
            <v>0</v>
          </cell>
          <cell r="KF22">
            <v>0</v>
          </cell>
          <cell r="KH22">
            <v>0</v>
          </cell>
          <cell r="KN22">
            <v>0</v>
          </cell>
          <cell r="KV22">
            <v>203202.57</v>
          </cell>
          <cell r="KX22">
            <v>590668.84000000008</v>
          </cell>
          <cell r="LD22">
            <v>0</v>
          </cell>
          <cell r="LT22">
            <v>10400000</v>
          </cell>
          <cell r="MF22">
            <v>1606420.99</v>
          </cell>
          <cell r="MJ22">
            <v>4130796.83</v>
          </cell>
          <cell r="NF22">
            <v>0</v>
          </cell>
          <cell r="NH22">
            <v>0</v>
          </cell>
          <cell r="NJ22">
            <v>0</v>
          </cell>
          <cell r="NN22">
            <v>0</v>
          </cell>
        </row>
        <row r="23">
          <cell r="R23">
            <v>0</v>
          </cell>
          <cell r="AB23">
            <v>0</v>
          </cell>
          <cell r="AD23">
            <v>0</v>
          </cell>
          <cell r="AJ23">
            <v>120407.37</v>
          </cell>
          <cell r="AL23">
            <v>2859675</v>
          </cell>
          <cell r="AV23">
            <v>163709.26999999999</v>
          </cell>
          <cell r="BB23">
            <v>0</v>
          </cell>
          <cell r="BF23">
            <v>67333.399999999994</v>
          </cell>
          <cell r="BH23">
            <v>0</v>
          </cell>
          <cell r="CV23">
            <v>10494.95</v>
          </cell>
          <cell r="CX23">
            <v>0</v>
          </cell>
          <cell r="DD23">
            <v>0</v>
          </cell>
          <cell r="DH23">
            <v>100440.64</v>
          </cell>
          <cell r="DJ23">
            <v>0</v>
          </cell>
          <cell r="DL23">
            <v>0</v>
          </cell>
          <cell r="ED23">
            <v>251199.82</v>
          </cell>
          <cell r="EF23">
            <v>23817.47</v>
          </cell>
          <cell r="EJ23">
            <v>645938</v>
          </cell>
          <cell r="EL23">
            <v>61244.49</v>
          </cell>
          <cell r="ET23">
            <v>211669.16999999998</v>
          </cell>
          <cell r="FH23">
            <v>22453658</v>
          </cell>
          <cell r="FN23">
            <v>0</v>
          </cell>
          <cell r="FV23">
            <v>0</v>
          </cell>
          <cell r="FX23">
            <v>0</v>
          </cell>
          <cell r="FZ23">
            <v>0</v>
          </cell>
          <cell r="GB23">
            <v>0</v>
          </cell>
          <cell r="GD23">
            <v>0</v>
          </cell>
          <cell r="GF23">
            <v>0</v>
          </cell>
          <cell r="GH23">
            <v>69604.070000000007</v>
          </cell>
          <cell r="GX23">
            <v>0</v>
          </cell>
          <cell r="HB23">
            <v>0</v>
          </cell>
          <cell r="HF23">
            <v>0</v>
          </cell>
          <cell r="HH23">
            <v>0</v>
          </cell>
          <cell r="HT23">
            <v>0</v>
          </cell>
          <cell r="HZ23">
            <v>3000000</v>
          </cell>
          <cell r="IB23">
            <v>5845299.8699999992</v>
          </cell>
          <cell r="IH23">
            <v>0</v>
          </cell>
          <cell r="IJ23">
            <v>434917.95999999996</v>
          </cell>
          <cell r="IL23">
            <v>13298580</v>
          </cell>
          <cell r="IN23">
            <v>0</v>
          </cell>
          <cell r="IR23">
            <v>35425846</v>
          </cell>
          <cell r="IT23">
            <v>0</v>
          </cell>
          <cell r="JF23">
            <v>0</v>
          </cell>
          <cell r="JL23">
            <v>0</v>
          </cell>
          <cell r="JN23">
            <v>0</v>
          </cell>
          <cell r="JP23">
            <v>0</v>
          </cell>
          <cell r="JR23">
            <v>0</v>
          </cell>
          <cell r="JT23">
            <v>0</v>
          </cell>
          <cell r="JX23">
            <v>0</v>
          </cell>
          <cell r="JZ23">
            <v>0</v>
          </cell>
          <cell r="KF23">
            <v>0</v>
          </cell>
          <cell r="KH23">
            <v>0</v>
          </cell>
          <cell r="KN23">
            <v>0</v>
          </cell>
          <cell r="KV23">
            <v>334903.23</v>
          </cell>
          <cell r="KX23">
            <v>517675.56000000006</v>
          </cell>
          <cell r="LD23">
            <v>2230620</v>
          </cell>
          <cell r="LT23">
            <v>7000000</v>
          </cell>
          <cell r="MF23">
            <v>932314.19</v>
          </cell>
          <cell r="MJ23">
            <v>2397379.36</v>
          </cell>
          <cell r="NF23">
            <v>0</v>
          </cell>
          <cell r="NH23">
            <v>0</v>
          </cell>
          <cell r="NJ23">
            <v>0</v>
          </cell>
          <cell r="NN23">
            <v>0</v>
          </cell>
        </row>
        <row r="24">
          <cell r="R24">
            <v>0</v>
          </cell>
          <cell r="AB24">
            <v>0</v>
          </cell>
          <cell r="AD24">
            <v>0</v>
          </cell>
          <cell r="AV24">
            <v>116213.37</v>
          </cell>
          <cell r="BB24">
            <v>0</v>
          </cell>
          <cell r="BF24">
            <v>70494.94</v>
          </cell>
          <cell r="BH24">
            <v>0</v>
          </cell>
          <cell r="CV24">
            <v>8395.9599999999991</v>
          </cell>
          <cell r="CX24">
            <v>0</v>
          </cell>
          <cell r="DD24">
            <v>0</v>
          </cell>
          <cell r="DH24">
            <v>107925.25</v>
          </cell>
          <cell r="DJ24">
            <v>0</v>
          </cell>
          <cell r="DL24">
            <v>0</v>
          </cell>
          <cell r="DN24">
            <v>20387.87</v>
          </cell>
          <cell r="DT24">
            <v>23201.4</v>
          </cell>
          <cell r="EF24">
            <v>293066.45999999996</v>
          </cell>
          <cell r="EL24">
            <v>753594.34</v>
          </cell>
          <cell r="ET24">
            <v>545820.44999999995</v>
          </cell>
          <cell r="FH24">
            <v>15822189</v>
          </cell>
          <cell r="FN24">
            <v>0</v>
          </cell>
          <cell r="FV24">
            <v>0</v>
          </cell>
          <cell r="FX24">
            <v>0</v>
          </cell>
          <cell r="FZ24">
            <v>0</v>
          </cell>
          <cell r="GB24">
            <v>0</v>
          </cell>
          <cell r="GD24">
            <v>0</v>
          </cell>
          <cell r="GF24">
            <v>0</v>
          </cell>
          <cell r="GH24">
            <v>77978.12</v>
          </cell>
          <cell r="GJ24">
            <v>345046.39</v>
          </cell>
          <cell r="GX24">
            <v>2479833.21</v>
          </cell>
          <cell r="HB24">
            <v>1745336.24</v>
          </cell>
          <cell r="HF24">
            <v>109785</v>
          </cell>
          <cell r="HH24">
            <v>0</v>
          </cell>
          <cell r="HT24">
            <v>0</v>
          </cell>
          <cell r="HZ24">
            <v>6000000</v>
          </cell>
          <cell r="IB24">
            <v>8488800</v>
          </cell>
          <cell r="IH24">
            <v>0</v>
          </cell>
          <cell r="IJ24">
            <v>840607.82000000007</v>
          </cell>
          <cell r="IL24">
            <v>0</v>
          </cell>
          <cell r="IN24">
            <v>0</v>
          </cell>
          <cell r="IR24">
            <v>19740919</v>
          </cell>
          <cell r="IT24">
            <v>0</v>
          </cell>
          <cell r="JF24">
            <v>0</v>
          </cell>
          <cell r="JL24">
            <v>0</v>
          </cell>
          <cell r="JN24">
            <v>0</v>
          </cell>
          <cell r="JP24">
            <v>0</v>
          </cell>
          <cell r="JR24">
            <v>0</v>
          </cell>
          <cell r="JT24">
            <v>0</v>
          </cell>
          <cell r="JX24">
            <v>4400000</v>
          </cell>
          <cell r="JZ24">
            <v>0</v>
          </cell>
          <cell r="KF24">
            <v>0</v>
          </cell>
          <cell r="KH24">
            <v>0</v>
          </cell>
          <cell r="KN24">
            <v>0</v>
          </cell>
          <cell r="KV24">
            <v>279806.77</v>
          </cell>
          <cell r="KX24">
            <v>336549.01</v>
          </cell>
          <cell r="LD24">
            <v>6160166</v>
          </cell>
          <cell r="LT24">
            <v>12000000</v>
          </cell>
          <cell r="MF24">
            <v>3219940.53</v>
          </cell>
          <cell r="MJ24">
            <v>8279847.0399999991</v>
          </cell>
          <cell r="NF24">
            <v>56878500</v>
          </cell>
          <cell r="NH24">
            <v>146259000</v>
          </cell>
          <cell r="NJ24">
            <v>0</v>
          </cell>
          <cell r="NN24">
            <v>0</v>
          </cell>
        </row>
        <row r="25">
          <cell r="R25">
            <v>0</v>
          </cell>
          <cell r="AB25">
            <v>0</v>
          </cell>
          <cell r="AD25">
            <v>0</v>
          </cell>
          <cell r="AV25">
            <v>240005.88</v>
          </cell>
          <cell r="BB25">
            <v>0</v>
          </cell>
          <cell r="BF25">
            <v>94001.29</v>
          </cell>
          <cell r="BH25">
            <v>2965663.09</v>
          </cell>
          <cell r="CD25">
            <v>101631400</v>
          </cell>
          <cell r="CF25">
            <v>261338000</v>
          </cell>
          <cell r="CV25">
            <v>12593.94</v>
          </cell>
          <cell r="CX25">
            <v>699.65999999999985</v>
          </cell>
          <cell r="CZ25">
            <v>699.66</v>
          </cell>
          <cell r="DD25">
            <v>0</v>
          </cell>
          <cell r="DH25">
            <v>51884.43</v>
          </cell>
          <cell r="DJ25">
            <v>22492.890000000007</v>
          </cell>
          <cell r="DL25">
            <v>22492.890000000007</v>
          </cell>
          <cell r="ED25">
            <v>97223.63</v>
          </cell>
          <cell r="EF25">
            <v>165724.93</v>
          </cell>
          <cell r="EJ25">
            <v>250001.93</v>
          </cell>
          <cell r="EL25">
            <v>426146.81</v>
          </cell>
          <cell r="ET25">
            <v>1499914.58</v>
          </cell>
          <cell r="FH25">
            <v>5631318</v>
          </cell>
          <cell r="FN25">
            <v>7463360</v>
          </cell>
          <cell r="FV25">
            <v>0</v>
          </cell>
          <cell r="FX25">
            <v>20749529.690000001</v>
          </cell>
          <cell r="FZ25">
            <v>20749529.690000001</v>
          </cell>
          <cell r="GB25">
            <v>0</v>
          </cell>
          <cell r="GD25">
            <v>8030912.5700000003</v>
          </cell>
          <cell r="GF25">
            <v>8030912.5700000003</v>
          </cell>
          <cell r="GH25">
            <v>98437.17</v>
          </cell>
          <cell r="GJ25">
            <v>378259.82</v>
          </cell>
          <cell r="GL25">
            <v>284287.25</v>
          </cell>
          <cell r="GX25">
            <v>0</v>
          </cell>
          <cell r="HB25">
            <v>0</v>
          </cell>
          <cell r="HF25">
            <v>0</v>
          </cell>
          <cell r="HH25">
            <v>87035</v>
          </cell>
          <cell r="HJ25">
            <v>87035</v>
          </cell>
          <cell r="HT25">
            <v>0</v>
          </cell>
          <cell r="HZ25">
            <v>0</v>
          </cell>
          <cell r="IB25">
            <v>0</v>
          </cell>
          <cell r="ID25">
            <v>0</v>
          </cell>
          <cell r="IH25">
            <v>0</v>
          </cell>
          <cell r="IJ25">
            <v>949464.23</v>
          </cell>
          <cell r="IL25">
            <v>0</v>
          </cell>
          <cell r="IN25">
            <v>30934869</v>
          </cell>
          <cell r="IR25">
            <v>27284374</v>
          </cell>
          <cell r="IT25">
            <v>24028790</v>
          </cell>
          <cell r="JF25">
            <v>0</v>
          </cell>
          <cell r="JL25">
            <v>0</v>
          </cell>
          <cell r="JN25">
            <v>0</v>
          </cell>
          <cell r="JP25">
            <v>0</v>
          </cell>
          <cell r="JR25">
            <v>0</v>
          </cell>
          <cell r="JT25">
            <v>0</v>
          </cell>
          <cell r="JX25">
            <v>0</v>
          </cell>
          <cell r="JZ25">
            <v>0</v>
          </cell>
          <cell r="KF25">
            <v>1562750</v>
          </cell>
          <cell r="KH25">
            <v>1562750</v>
          </cell>
          <cell r="KN25">
            <v>0</v>
          </cell>
          <cell r="KV25">
            <v>147227.03</v>
          </cell>
          <cell r="KX25">
            <v>810045.77</v>
          </cell>
          <cell r="KZ25">
            <v>151248.75</v>
          </cell>
          <cell r="LD25">
            <v>2000000</v>
          </cell>
          <cell r="LF25">
            <v>2000000</v>
          </cell>
          <cell r="LJ25">
            <v>870000</v>
          </cell>
          <cell r="LL25">
            <v>870000</v>
          </cell>
          <cell r="LP25">
            <v>16530000</v>
          </cell>
          <cell r="LR25">
            <v>16530000</v>
          </cell>
          <cell r="LT25">
            <v>11000000</v>
          </cell>
          <cell r="LV25">
            <v>4000000</v>
          </cell>
          <cell r="MF25">
            <v>4866611.01</v>
          </cell>
          <cell r="MJ25">
            <v>12514142.59</v>
          </cell>
          <cell r="NF25">
            <v>0</v>
          </cell>
          <cell r="NH25">
            <v>0</v>
          </cell>
          <cell r="NJ25">
            <v>0</v>
          </cell>
          <cell r="NN25">
            <v>0</v>
          </cell>
        </row>
        <row r="26">
          <cell r="R26">
            <v>0</v>
          </cell>
          <cell r="AB26">
            <v>0</v>
          </cell>
          <cell r="AD26">
            <v>0</v>
          </cell>
          <cell r="AV26">
            <v>325692.18</v>
          </cell>
          <cell r="BB26">
            <v>0</v>
          </cell>
          <cell r="BF26">
            <v>58747.79</v>
          </cell>
          <cell r="BH26">
            <v>3207018.64</v>
          </cell>
          <cell r="CV26">
            <v>6996.63</v>
          </cell>
          <cell r="CX26">
            <v>0</v>
          </cell>
          <cell r="DD26">
            <v>0</v>
          </cell>
          <cell r="DH26">
            <v>92752.9</v>
          </cell>
          <cell r="DJ26">
            <v>0</v>
          </cell>
          <cell r="DL26">
            <v>0</v>
          </cell>
          <cell r="DZ26">
            <v>2800007.29</v>
          </cell>
          <cell r="EB26">
            <v>7199992.71</v>
          </cell>
          <cell r="ED26">
            <v>282212.2</v>
          </cell>
          <cell r="EF26">
            <v>0</v>
          </cell>
          <cell r="EJ26">
            <v>725683.6</v>
          </cell>
          <cell r="EL26">
            <v>0</v>
          </cell>
          <cell r="ET26">
            <v>814873.54</v>
          </cell>
          <cell r="FB26">
            <v>1637460</v>
          </cell>
          <cell r="FH26">
            <v>11139349</v>
          </cell>
          <cell r="FN26">
            <v>0</v>
          </cell>
          <cell r="FV26">
            <v>0</v>
          </cell>
          <cell r="FX26">
            <v>0</v>
          </cell>
          <cell r="GB26">
            <v>0</v>
          </cell>
          <cell r="GD26">
            <v>0</v>
          </cell>
          <cell r="GH26">
            <v>80545.56</v>
          </cell>
          <cell r="GX26">
            <v>731466.89</v>
          </cell>
          <cell r="HB26">
            <v>514815.14</v>
          </cell>
          <cell r="HF26">
            <v>101985</v>
          </cell>
          <cell r="HH26">
            <v>0</v>
          </cell>
          <cell r="HT26">
            <v>0</v>
          </cell>
          <cell r="HZ26">
            <v>0</v>
          </cell>
          <cell r="IB26">
            <v>8467789.5800000001</v>
          </cell>
          <cell r="IH26">
            <v>0</v>
          </cell>
          <cell r="IJ26">
            <v>815540.83000000007</v>
          </cell>
          <cell r="IL26">
            <v>0</v>
          </cell>
          <cell r="IN26">
            <v>0</v>
          </cell>
          <cell r="IR26">
            <v>21637607</v>
          </cell>
          <cell r="IT26">
            <v>0</v>
          </cell>
          <cell r="JF26">
            <v>0</v>
          </cell>
          <cell r="JL26">
            <v>0</v>
          </cell>
          <cell r="JN26">
            <v>0</v>
          </cell>
          <cell r="JP26">
            <v>0</v>
          </cell>
          <cell r="JR26">
            <v>0</v>
          </cell>
          <cell r="JT26">
            <v>0</v>
          </cell>
          <cell r="JX26">
            <v>2500000</v>
          </cell>
          <cell r="JZ26">
            <v>0</v>
          </cell>
          <cell r="KF26">
            <v>0</v>
          </cell>
          <cell r="KH26">
            <v>0</v>
          </cell>
          <cell r="KN26">
            <v>0</v>
          </cell>
          <cell r="KV26">
            <v>304980.24</v>
          </cell>
          <cell r="KX26">
            <v>701837.81</v>
          </cell>
          <cell r="LD26">
            <v>2406400</v>
          </cell>
          <cell r="LT26">
            <v>6000000</v>
          </cell>
          <cell r="MF26">
            <v>2450002.9500000002</v>
          </cell>
          <cell r="MJ26">
            <v>6300007.5499999998</v>
          </cell>
          <cell r="NF26">
            <v>27382055.559999999</v>
          </cell>
          <cell r="NH26">
            <v>70411000</v>
          </cell>
          <cell r="NJ26">
            <v>0</v>
          </cell>
          <cell r="NN26">
            <v>0</v>
          </cell>
        </row>
        <row r="27">
          <cell r="R27">
            <v>0</v>
          </cell>
          <cell r="AB27">
            <v>0</v>
          </cell>
          <cell r="AD27">
            <v>0</v>
          </cell>
          <cell r="AJ27">
            <v>120407.37</v>
          </cell>
          <cell r="AL27">
            <v>2859675</v>
          </cell>
          <cell r="AV27">
            <v>391588.54</v>
          </cell>
          <cell r="BB27">
            <v>0</v>
          </cell>
          <cell r="BF27">
            <v>69016.740000000005</v>
          </cell>
          <cell r="BH27">
            <v>2101373.9700000002</v>
          </cell>
          <cell r="CL27">
            <v>8820000</v>
          </cell>
          <cell r="CR27">
            <v>22680000</v>
          </cell>
          <cell r="CV27">
            <v>6996.63</v>
          </cell>
          <cell r="CX27">
            <v>0</v>
          </cell>
          <cell r="DD27">
            <v>0</v>
          </cell>
          <cell r="DH27">
            <v>190709.08</v>
          </cell>
          <cell r="DJ27">
            <v>16375.510000000009</v>
          </cell>
          <cell r="DL27">
            <v>16375.510000000009</v>
          </cell>
          <cell r="ED27">
            <v>741637.52</v>
          </cell>
          <cell r="EF27">
            <v>251419.76</v>
          </cell>
          <cell r="EH27">
            <v>251419.76</v>
          </cell>
          <cell r="EJ27">
            <v>1907054.9</v>
          </cell>
          <cell r="EL27">
            <v>646503.56000000006</v>
          </cell>
          <cell r="EN27">
            <v>646503.56000000006</v>
          </cell>
          <cell r="ET27">
            <v>3045678.08</v>
          </cell>
          <cell r="FB27">
            <v>1176000</v>
          </cell>
          <cell r="FD27">
            <v>686000</v>
          </cell>
          <cell r="FH27">
            <v>35009192</v>
          </cell>
          <cell r="FN27">
            <v>0</v>
          </cell>
          <cell r="FV27">
            <v>0</v>
          </cell>
          <cell r="FX27">
            <v>0</v>
          </cell>
          <cell r="GB27">
            <v>0</v>
          </cell>
          <cell r="GD27">
            <v>0</v>
          </cell>
          <cell r="GH27">
            <v>91800.68</v>
          </cell>
          <cell r="GX27">
            <v>315194.07</v>
          </cell>
          <cell r="GZ27">
            <v>205973.66</v>
          </cell>
          <cell r="HB27">
            <v>221837.35</v>
          </cell>
          <cell r="HD27">
            <v>144966.72</v>
          </cell>
          <cell r="HF27">
            <v>0</v>
          </cell>
          <cell r="HH27">
            <v>0</v>
          </cell>
          <cell r="HT27">
            <v>0</v>
          </cell>
          <cell r="HZ27">
            <v>17000000</v>
          </cell>
          <cell r="IB27">
            <v>10293719.050000001</v>
          </cell>
          <cell r="ID27">
            <v>0</v>
          </cell>
          <cell r="IH27">
            <v>106286</v>
          </cell>
          <cell r="IJ27">
            <v>650649.74</v>
          </cell>
          <cell r="IL27">
            <v>0</v>
          </cell>
          <cell r="IN27">
            <v>0</v>
          </cell>
          <cell r="IR27">
            <v>25793148</v>
          </cell>
          <cell r="IT27">
            <v>0</v>
          </cell>
          <cell r="JF27">
            <v>0</v>
          </cell>
          <cell r="JL27">
            <v>0</v>
          </cell>
          <cell r="JN27">
            <v>0</v>
          </cell>
          <cell r="JP27">
            <v>0</v>
          </cell>
          <cell r="JR27">
            <v>0</v>
          </cell>
          <cell r="JT27">
            <v>0</v>
          </cell>
          <cell r="JX27">
            <v>1020000</v>
          </cell>
          <cell r="JZ27">
            <v>0</v>
          </cell>
          <cell r="KF27">
            <v>522875</v>
          </cell>
          <cell r="KH27">
            <v>522875</v>
          </cell>
          <cell r="KN27">
            <v>0</v>
          </cell>
          <cell r="KV27">
            <v>191680.51</v>
          </cell>
          <cell r="KX27">
            <v>581023.77</v>
          </cell>
          <cell r="KZ27">
            <v>128730.24000000001</v>
          </cell>
          <cell r="LD27">
            <v>4279050</v>
          </cell>
          <cell r="LF27">
            <v>2000000</v>
          </cell>
          <cell r="LJ27">
            <v>870000</v>
          </cell>
          <cell r="LL27">
            <v>870000</v>
          </cell>
          <cell r="LP27">
            <v>16530000</v>
          </cell>
          <cell r="LR27">
            <v>16530000</v>
          </cell>
          <cell r="LT27">
            <v>8000000</v>
          </cell>
          <cell r="LV27">
            <v>0</v>
          </cell>
          <cell r="MF27">
            <v>1254763.6099999999</v>
          </cell>
          <cell r="MJ27">
            <v>3226534.9699999997</v>
          </cell>
          <cell r="NF27">
            <v>0</v>
          </cell>
          <cell r="NH27">
            <v>0</v>
          </cell>
          <cell r="NJ27">
            <v>0</v>
          </cell>
          <cell r="NN27">
            <v>0</v>
          </cell>
        </row>
        <row r="30">
          <cell r="R30">
            <v>1000000</v>
          </cell>
          <cell r="AB30">
            <v>3200000</v>
          </cell>
          <cell r="AV30">
            <v>435926.46</v>
          </cell>
          <cell r="BB30">
            <v>0</v>
          </cell>
          <cell r="BF30">
            <v>178469.72</v>
          </cell>
          <cell r="BH30">
            <v>2255460.92</v>
          </cell>
          <cell r="CV30">
            <v>28396.43</v>
          </cell>
          <cell r="DH30">
            <v>254093.88</v>
          </cell>
          <cell r="EP30">
            <v>1588500</v>
          </cell>
          <cell r="ER30">
            <v>4084000</v>
          </cell>
          <cell r="FH30">
            <v>80214000</v>
          </cell>
          <cell r="FV30">
            <v>45164953.560000002</v>
          </cell>
          <cell r="GB30">
            <v>12498761.379999999</v>
          </cell>
          <cell r="GH30">
            <v>147696.68</v>
          </cell>
          <cell r="GX30">
            <v>1678043.78</v>
          </cell>
          <cell r="HB30">
            <v>1181027.26</v>
          </cell>
          <cell r="HF30">
            <v>260585</v>
          </cell>
          <cell r="HZ30">
            <v>154958280.5</v>
          </cell>
          <cell r="IF30">
            <v>0</v>
          </cell>
          <cell r="IL30">
            <v>0</v>
          </cell>
          <cell r="IX30">
            <v>23200002.899999999</v>
          </cell>
          <cell r="JD30">
            <v>71380700</v>
          </cell>
          <cell r="JJ30">
            <v>0</v>
          </cell>
          <cell r="JP30">
            <v>0</v>
          </cell>
          <cell r="JX30">
            <v>0</v>
          </cell>
          <cell r="KD30">
            <v>631125</v>
          </cell>
          <cell r="KJ30">
            <v>0</v>
          </cell>
          <cell r="KV30">
            <v>522706.23</v>
          </cell>
          <cell r="LB30">
            <v>1978099</v>
          </cell>
          <cell r="LH30">
            <v>1608236.84</v>
          </cell>
          <cell r="LN30">
            <v>30556500</v>
          </cell>
          <cell r="LT30">
            <v>5900000</v>
          </cell>
        </row>
        <row r="31">
          <cell r="R31">
            <v>6000000</v>
          </cell>
          <cell r="AB31">
            <v>4800000</v>
          </cell>
          <cell r="AF31">
            <v>2361275.79</v>
          </cell>
          <cell r="AH31">
            <v>112160600</v>
          </cell>
          <cell r="AV31">
            <v>579382.61</v>
          </cell>
          <cell r="AX31">
            <v>526315.79</v>
          </cell>
          <cell r="AZ31">
            <v>25000000</v>
          </cell>
          <cell r="BB31">
            <v>1794335</v>
          </cell>
          <cell r="BF31">
            <v>879437.01</v>
          </cell>
          <cell r="BH31">
            <v>2471385.91</v>
          </cell>
          <cell r="BR31">
            <v>23934334.18</v>
          </cell>
          <cell r="BT31">
            <v>454752300</v>
          </cell>
          <cell r="BV31">
            <v>13627696.82</v>
          </cell>
          <cell r="BX31">
            <v>35042600</v>
          </cell>
          <cell r="CD31">
            <v>28464526.23</v>
          </cell>
          <cell r="CF31">
            <v>73194500</v>
          </cell>
          <cell r="CV31">
            <v>56898.83</v>
          </cell>
          <cell r="DH31">
            <v>527516.48</v>
          </cell>
          <cell r="DZ31">
            <v>9499192.7100000009</v>
          </cell>
          <cell r="EB31">
            <v>24426407.289999999</v>
          </cell>
          <cell r="EV31">
            <v>12867893.43</v>
          </cell>
          <cell r="EX31">
            <v>611225000</v>
          </cell>
          <cell r="FH31">
            <v>48753742</v>
          </cell>
          <cell r="FT31">
            <v>711188.46</v>
          </cell>
          <cell r="FV31">
            <v>354949672.07999998</v>
          </cell>
          <cell r="GB31">
            <v>71020215.159999996</v>
          </cell>
          <cell r="GH31">
            <v>738107.86</v>
          </cell>
          <cell r="GX31">
            <v>170414.82</v>
          </cell>
          <cell r="HB31">
            <v>119939.99</v>
          </cell>
          <cell r="HF31">
            <v>0</v>
          </cell>
          <cell r="HZ31">
            <v>25000000</v>
          </cell>
          <cell r="IF31">
            <v>14000000</v>
          </cell>
          <cell r="IL31">
            <v>17541200</v>
          </cell>
          <cell r="IR31">
            <v>44792800</v>
          </cell>
          <cell r="JD31">
            <v>518500000</v>
          </cell>
          <cell r="JJ31">
            <v>28449817.34</v>
          </cell>
          <cell r="JP31">
            <v>0</v>
          </cell>
          <cell r="JX31">
            <v>17745000</v>
          </cell>
          <cell r="KD31">
            <v>3760000</v>
          </cell>
          <cell r="KJ31">
            <v>16238050</v>
          </cell>
          <cell r="KV31">
            <v>1376640.93</v>
          </cell>
          <cell r="LB31">
            <v>20000000</v>
          </cell>
          <cell r="LH31">
            <v>10000000</v>
          </cell>
          <cell r="LN31">
            <v>190000000</v>
          </cell>
          <cell r="LT31">
            <v>0</v>
          </cell>
        </row>
        <row r="35">
          <cell r="E35">
            <v>6405091218.1599998</v>
          </cell>
        </row>
        <row r="36">
          <cell r="E36">
            <v>6592632.3494500006</v>
          </cell>
        </row>
        <row r="37">
          <cell r="K37">
            <v>162671.20500000007</v>
          </cell>
        </row>
      </sheetData>
      <sheetData sheetId="71"/>
      <sheetData sheetId="72"/>
      <sheetData sheetId="73"/>
      <sheetData sheetId="74">
        <row r="11">
          <cell r="AE11">
            <v>15000000</v>
          </cell>
        </row>
        <row r="12">
          <cell r="AS12">
            <v>30000000</v>
          </cell>
          <cell r="AW12">
            <v>45000000</v>
          </cell>
        </row>
        <row r="27">
          <cell r="AS27">
            <v>30500000</v>
          </cell>
          <cell r="AW27">
            <v>45000000</v>
          </cell>
        </row>
        <row r="28">
          <cell r="I28">
            <v>0</v>
          </cell>
          <cell r="K28">
            <v>0</v>
          </cell>
          <cell r="M28">
            <v>0</v>
          </cell>
        </row>
        <row r="30">
          <cell r="W30">
            <v>240000000</v>
          </cell>
          <cell r="AC30">
            <v>70000000</v>
          </cell>
          <cell r="AS30">
            <v>27440000</v>
          </cell>
          <cell r="AW30">
            <v>44500000</v>
          </cell>
        </row>
        <row r="31">
          <cell r="M31">
            <v>224874.44</v>
          </cell>
          <cell r="Q31">
            <v>10000000</v>
          </cell>
          <cell r="U31">
            <v>1000000</v>
          </cell>
          <cell r="AC31">
            <v>776087457</v>
          </cell>
          <cell r="AI31">
            <v>120000000</v>
          </cell>
        </row>
        <row r="35">
          <cell r="B35">
            <v>1454752331.4400001</v>
          </cell>
        </row>
        <row r="37">
          <cell r="B37">
            <v>152985</v>
          </cell>
        </row>
        <row r="39">
          <cell r="B39">
            <v>1607737331.4400001</v>
          </cell>
        </row>
      </sheetData>
      <sheetData sheetId="75"/>
      <sheetData sheetId="76"/>
      <sheetData sheetId="77"/>
      <sheetData sheetId="78"/>
      <sheetData sheetId="79"/>
      <sheetData sheetId="80"/>
      <sheetData sheetId="81"/>
      <sheetData sheetId="82"/>
      <sheetData sheetId="83"/>
      <sheetData sheetId="84"/>
      <sheetData sheetId="85"/>
      <sheetData sheetId="86">
        <row r="4">
          <cell r="D4" t="str">
            <v>ПО  СОСТОЯНИЮ  НА  1  ИЮЛЯ  2020  ГОДА</v>
          </cell>
        </row>
      </sheetData>
      <sheetData sheetId="87"/>
      <sheetData sheetId="8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полнение  по  дотации"/>
      <sheetName val="Исполнение  по  субсидии"/>
      <sheetName val="Исполнение  по  субвенции"/>
      <sheetName val="Исполнение  по  иным  МБТ"/>
      <sheetName val="Исполнение  по  МБТ  всего"/>
      <sheetName val="Дотация  на  выравнивание  БП"/>
      <sheetName val="Дотация  на  выравнивание  МР"/>
      <sheetName val="Дотация  на  сбалансированность"/>
      <sheetName val="Субсидия_ФСР"/>
      <sheetName val="Субсидия  из  ОБ"/>
      <sheetName val="Уточнения  по  МБТ  в  феврале"/>
      <sheetName val="Уточнения  по  МБТ  в  марте"/>
      <sheetName val="Уточнения  по  МБТ  в  мае"/>
      <sheetName val="Уточнения  по  МБТ  в  июне"/>
      <sheetName val="Уточнения  по  МБТ  в  ________"/>
      <sheetName val="Уточнения  по  субсидии"/>
      <sheetName val="Уточнения  по  субвенции"/>
      <sheetName val="Уточнение  по  МБТ  за  год"/>
      <sheetName val="Годовые  поправки  по МБТ_всего"/>
      <sheetName val="Уточнения  по  уровням  бюджета"/>
    </sheetNames>
    <sheetDataSet>
      <sheetData sheetId="0">
        <row r="38">
          <cell r="B38">
            <v>2976947.2060000002</v>
          </cell>
          <cell r="E38">
            <v>1793436.1551299999</v>
          </cell>
        </row>
        <row r="40">
          <cell r="B40">
            <v>2976947.2060000002</v>
          </cell>
          <cell r="E40">
            <v>1793436.1551299999</v>
          </cell>
        </row>
        <row r="41">
          <cell r="B41">
            <v>0</v>
          </cell>
          <cell r="E41">
            <v>0</v>
          </cell>
        </row>
      </sheetData>
      <sheetData sheetId="1">
        <row r="39">
          <cell r="B39">
            <v>6405091.2181599997</v>
          </cell>
          <cell r="C39">
            <v>1820130.7962700003</v>
          </cell>
        </row>
        <row r="41">
          <cell r="B41">
            <v>3178537.4498400004</v>
          </cell>
          <cell r="C41">
            <v>1100594.6528099999</v>
          </cell>
        </row>
        <row r="44">
          <cell r="B44">
            <v>6405091.2181599997</v>
          </cell>
          <cell r="C44">
            <v>1820130.7962700003</v>
          </cell>
        </row>
      </sheetData>
      <sheetData sheetId="2">
        <row r="39">
          <cell r="B39">
            <v>11267783.454</v>
          </cell>
          <cell r="G39">
            <v>6640855.5192799997</v>
          </cell>
        </row>
        <row r="41">
          <cell r="B41">
            <v>113213.8</v>
          </cell>
          <cell r="G41">
            <v>64035.583279999999</v>
          </cell>
        </row>
        <row r="44">
          <cell r="B44">
            <v>11127927.594000001</v>
          </cell>
          <cell r="G44">
            <v>6566878.4819999998</v>
          </cell>
        </row>
        <row r="45">
          <cell r="B45">
            <v>139855.85999999999</v>
          </cell>
          <cell r="G45">
            <v>73977.03727999999</v>
          </cell>
        </row>
      </sheetData>
      <sheetData sheetId="3">
        <row r="37">
          <cell r="B37">
            <v>1454752.3314400001</v>
          </cell>
          <cell r="G37">
            <v>193374.98508000001</v>
          </cell>
        </row>
        <row r="39">
          <cell r="B39">
            <v>1366587.4569999999</v>
          </cell>
          <cell r="G39">
            <v>193150.11064000003</v>
          </cell>
        </row>
        <row r="42">
          <cell r="B42">
            <v>1454752.3314400001</v>
          </cell>
          <cell r="G42">
            <v>193374.98508000001</v>
          </cell>
        </row>
      </sheetData>
      <sheetData sheetId="4">
        <row r="33">
          <cell r="B33">
            <v>22104574.209600002</v>
          </cell>
          <cell r="E33">
            <v>10447797.455760002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верочная  таблица"/>
      <sheetName val="Прочая  субсидия_МР  и  ГО"/>
      <sheetName val="Прочая  субсидия_БП"/>
      <sheetName val="Субвенция  на  полномочия"/>
      <sheetName val="Район  и  поселения"/>
      <sheetName val="Федеральные  средства  по  МО"/>
      <sheetName val="Федеральные  средства"/>
      <sheetName val="МБТ  по  программам"/>
      <sheetName val="МБТ  по  видам  расходов"/>
      <sheetName val="Нераспределенная  дотация"/>
      <sheetName val="Нераспределенная  субсидия"/>
      <sheetName val="Нераспределенные  иные  МБТ"/>
      <sheetName val="Субсидии  по  сел. хоз."/>
    </sheetNames>
    <sheetDataSet>
      <sheetData sheetId="0">
        <row r="30">
          <cell r="T30">
            <v>15020000</v>
          </cell>
        </row>
        <row r="37">
          <cell r="L37">
            <v>132564300</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верочная  таблица"/>
      <sheetName val="Прочая  субсидия_МР  и  ГО"/>
      <sheetName val="Прочая  субсидия_БП"/>
      <sheetName val="Субвенция  на  полномочия"/>
      <sheetName val="Район  и  поселения"/>
      <sheetName val="Федеральные  средства  по  МО"/>
      <sheetName val="Федеральные  средства"/>
      <sheetName val="МБТ  по  программам"/>
      <sheetName val="МБТ  по  видам  расходов"/>
      <sheetName val="Нераспределенная  дотация"/>
      <sheetName val="Нераспределенная  субсидия"/>
      <sheetName val="Нераспределенные  иные  МБТ"/>
      <sheetName val="субсидия  ВР 522"/>
      <sheetName val="Федеральная  субсидия"/>
    </sheetNames>
    <sheetDataSet>
      <sheetData sheetId="0">
        <row r="32">
          <cell r="EU32">
            <v>0</v>
          </cell>
          <cell r="EX32">
            <v>0</v>
          </cell>
        </row>
        <row r="33">
          <cell r="EU33">
            <v>0</v>
          </cell>
          <cell r="EX33">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2:WO61"/>
  <sheetViews>
    <sheetView tabSelected="1" zoomScale="58" zoomScaleNormal="58" zoomScaleSheetLayoutView="50" workbookViewId="0">
      <selection activeCell="AT36" activeCellId="4" sqref="AL36:AO36 AQ35 AR36 AS36 AT36"/>
    </sheetView>
  </sheetViews>
  <sheetFormatPr defaultRowHeight="16.8" x14ac:dyDescent="0.25"/>
  <cols>
    <col min="1" max="1" width="28.33203125" style="223" customWidth="1"/>
    <col min="2" max="2" width="28" style="223" customWidth="1"/>
    <col min="3" max="3" width="28.109375" style="223" customWidth="1"/>
    <col min="4" max="4" width="25.88671875" style="223" customWidth="1"/>
    <col min="5" max="5" width="25.109375" style="223" customWidth="1"/>
    <col min="6" max="6" width="27.109375" style="223" customWidth="1"/>
    <col min="7" max="7" width="25.33203125" style="223" customWidth="1"/>
    <col min="8" max="8" width="26.109375" style="223" customWidth="1"/>
    <col min="9" max="13" width="24.5546875" style="223" customWidth="1"/>
    <col min="14" max="14" width="24.44140625" style="223" customWidth="1"/>
    <col min="15" max="15" width="26.109375" style="223" customWidth="1"/>
    <col min="16" max="16" width="24.44140625" style="223" customWidth="1"/>
    <col min="17" max="19" width="25.44140625" style="223" customWidth="1"/>
    <col min="20" max="20" width="23.88671875" style="223" customWidth="1"/>
    <col min="21" max="21" width="25.44140625" style="223" customWidth="1"/>
    <col min="22" max="23" width="24.5546875" style="223" customWidth="1"/>
    <col min="24" max="24" width="21" style="223" hidden="1" customWidth="1"/>
    <col min="25" max="25" width="20.5546875" style="223" hidden="1" customWidth="1"/>
    <col min="26" max="26" width="21.44140625" style="223" hidden="1" customWidth="1"/>
    <col min="27" max="27" width="23.88671875" style="223" customWidth="1"/>
    <col min="28" max="28" width="24.44140625" style="223" customWidth="1"/>
    <col min="29" max="29" width="21.5546875" style="223" hidden="1" customWidth="1"/>
    <col min="30" max="30" width="24.44140625" style="223" hidden="1" customWidth="1"/>
    <col min="31" max="34" width="24.44140625" style="223" customWidth="1"/>
    <col min="35" max="35" width="26.44140625" style="223" customWidth="1"/>
    <col min="36" max="36" width="28" style="223" customWidth="1"/>
    <col min="37" max="37" width="23.33203125" style="223" customWidth="1"/>
    <col min="38" max="38" width="28" style="223" hidden="1" customWidth="1"/>
    <col min="39" max="39" width="38.109375" style="223" hidden="1" customWidth="1"/>
    <col min="40" max="41" width="28" style="223" hidden="1" customWidth="1"/>
    <col min="42" max="42" width="23.109375" style="223" customWidth="1"/>
    <col min="43" max="43" width="28" style="223" hidden="1" customWidth="1"/>
    <col min="44" max="44" width="38" style="223" hidden="1" customWidth="1"/>
    <col min="45" max="46" width="28" style="223" hidden="1" customWidth="1"/>
    <col min="47" max="47" width="23.44140625" style="223" customWidth="1"/>
    <col min="48" max="48" width="28" style="223" hidden="1" customWidth="1"/>
    <col min="49" max="49" width="40" style="223" hidden="1" customWidth="1"/>
    <col min="50" max="50" width="28" style="223" hidden="1" customWidth="1"/>
    <col min="51" max="51" width="23.88671875" style="223" customWidth="1"/>
    <col min="52" max="52" width="28" style="223" hidden="1" customWidth="1"/>
    <col min="53" max="53" width="36" style="223" hidden="1" customWidth="1"/>
    <col min="54" max="54" width="28" style="223" hidden="1" customWidth="1"/>
    <col min="55" max="55" width="22.109375" style="223" customWidth="1"/>
    <col min="56" max="56" width="28" style="223" hidden="1" customWidth="1"/>
    <col min="57" max="57" width="38.88671875" style="223" hidden="1" customWidth="1"/>
    <col min="58" max="58" width="28" style="223" hidden="1" customWidth="1"/>
    <col min="59" max="59" width="23.109375" style="223" customWidth="1"/>
    <col min="60" max="60" width="28" style="223" hidden="1" customWidth="1"/>
    <col min="61" max="61" width="36" style="223" hidden="1" customWidth="1"/>
    <col min="62" max="62" width="28" style="223" hidden="1" customWidth="1"/>
    <col min="63" max="63" width="24.44140625" style="223" customWidth="1"/>
    <col min="64" max="64" width="28" style="223" hidden="1" customWidth="1"/>
    <col min="65" max="65" width="36" style="223" hidden="1" customWidth="1"/>
    <col min="66" max="66" width="24.6640625" style="223" hidden="1" customWidth="1"/>
    <col min="67" max="67" width="24" style="223" customWidth="1"/>
    <col min="68" max="68" width="28" style="223" hidden="1" customWidth="1"/>
    <col min="69" max="69" width="42.5546875" style="223" hidden="1" customWidth="1"/>
    <col min="70" max="70" width="26" style="223" hidden="1" customWidth="1"/>
    <col min="71" max="71" width="26.88671875" style="223" customWidth="1"/>
    <col min="72" max="72" width="23.88671875" style="223" hidden="1" customWidth="1"/>
    <col min="73" max="73" width="25.44140625" style="223" hidden="1" customWidth="1"/>
    <col min="74" max="74" width="23.88671875" hidden="1" customWidth="1"/>
    <col min="75" max="75" width="24.88671875" style="223" customWidth="1"/>
    <col min="76" max="77" width="24.88671875" style="223" hidden="1" customWidth="1"/>
    <col min="78" max="78" width="23.88671875" hidden="1" customWidth="1"/>
    <col min="79" max="79" width="23.44140625" style="223" customWidth="1"/>
    <col min="80" max="81" width="22.88671875" style="223" hidden="1" customWidth="1"/>
    <col min="82" max="82" width="23.88671875" hidden="1" customWidth="1"/>
    <col min="83" max="83" width="23" style="223" customWidth="1"/>
    <col min="84" max="85" width="23" style="223" hidden="1" customWidth="1"/>
    <col min="86" max="86" width="23.88671875" hidden="1" customWidth="1"/>
    <col min="87" max="88" width="21.44140625" style="223" customWidth="1"/>
    <col min="89" max="89" width="23.109375" style="223" customWidth="1"/>
    <col min="90" max="91" width="23" style="223" customWidth="1"/>
    <col min="92" max="92" width="23" style="223" hidden="1" customWidth="1"/>
    <col min="93" max="93" width="23" style="223" customWidth="1"/>
    <col min="94" max="94" width="23" style="223" hidden="1" customWidth="1"/>
    <col min="95" max="96" width="29.33203125" style="223" customWidth="1"/>
    <col min="97" max="98" width="25.5546875" style="223" customWidth="1"/>
    <col min="99" max="102" width="27.44140625" style="223" customWidth="1"/>
    <col min="103" max="104" width="24.109375" style="223" customWidth="1"/>
    <col min="105" max="106" width="25.5546875" style="223" customWidth="1"/>
    <col min="107" max="111" width="25.109375" style="223" customWidth="1"/>
    <col min="112" max="113" width="25.109375" style="223" hidden="1" customWidth="1"/>
    <col min="114" max="114" width="25.109375" style="223" customWidth="1"/>
    <col min="115" max="116" width="25.109375" style="223" hidden="1" customWidth="1"/>
    <col min="117" max="117" width="23.88671875" style="223" customWidth="1"/>
    <col min="118" max="118" width="21" style="223" hidden="1" customWidth="1"/>
    <col min="119" max="119" width="25.109375" style="223" hidden="1" customWidth="1"/>
    <col min="120" max="120" width="24.88671875" style="223" hidden="1" customWidth="1"/>
    <col min="121" max="121" width="24.109375" style="223" hidden="1" customWidth="1"/>
    <col min="122" max="122" width="27.88671875" style="223" hidden="1" customWidth="1"/>
    <col min="123" max="124" width="23.44140625" style="223" hidden="1" customWidth="1"/>
    <col min="125" max="125" width="22.44140625" style="223" customWidth="1"/>
    <col min="126" max="126" width="21" style="223" hidden="1" customWidth="1"/>
    <col min="127" max="127" width="25.44140625" style="223" hidden="1" customWidth="1"/>
    <col min="128" max="128" width="26.109375" style="223" hidden="1" customWidth="1"/>
    <col min="129" max="132" width="25" style="223" hidden="1" customWidth="1"/>
    <col min="133" max="133" width="21" style="223" customWidth="1"/>
    <col min="134" max="135" width="24.88671875" style="223" hidden="1" customWidth="1"/>
    <col min="136" max="136" width="21" style="223" customWidth="1"/>
    <col min="137" max="137" width="24.109375" style="223" hidden="1" customWidth="1"/>
    <col min="138" max="138" width="27.44140625" style="223" hidden="1" customWidth="1"/>
    <col min="139" max="139" width="24.109375" style="223" customWidth="1"/>
    <col min="140" max="140" width="23.44140625" style="223" hidden="1" customWidth="1"/>
    <col min="141" max="141" width="28.33203125" style="223" hidden="1" customWidth="1"/>
    <col min="142" max="142" width="21.6640625" style="223" hidden="1" customWidth="1"/>
    <col min="143" max="143" width="28.33203125" style="223" hidden="1" customWidth="1"/>
    <col min="144" max="144" width="25.44140625" style="223" customWidth="1"/>
    <col min="145" max="145" width="23" style="223" hidden="1" customWidth="1"/>
    <col min="146" max="148" width="28.33203125" style="223" hidden="1" customWidth="1"/>
    <col min="149" max="149" width="24.44140625" style="223" customWidth="1"/>
    <col min="150" max="151" width="28.33203125" style="223" hidden="1" customWidth="1"/>
    <col min="152" max="152" width="23.88671875" style="223" customWidth="1"/>
    <col min="153" max="154" width="28.33203125" style="223" hidden="1" customWidth="1"/>
    <col min="155" max="155" width="24.88671875" style="223" customWidth="1"/>
    <col min="156" max="157" width="28.33203125" style="223" hidden="1" customWidth="1"/>
    <col min="158" max="158" width="22.5546875" style="223" customWidth="1"/>
    <col min="159" max="160" width="28.33203125" style="223" hidden="1" customWidth="1"/>
    <col min="161" max="161" width="24.5546875" style="223" customWidth="1"/>
    <col min="162" max="163" width="27.44140625" style="223" hidden="1" customWidth="1"/>
    <col min="164" max="164" width="22.88671875" style="223" customWidth="1"/>
    <col min="165" max="166" width="27.44140625" style="223" hidden="1" customWidth="1"/>
    <col min="167" max="167" width="22.5546875" style="223" customWidth="1"/>
    <col min="168" max="169" width="27.44140625" style="223" hidden="1" customWidth="1"/>
    <col min="170" max="170" width="22.6640625" style="223" customWidth="1"/>
    <col min="171" max="172" width="27.44140625" style="223" hidden="1" customWidth="1"/>
    <col min="173" max="173" width="22.88671875" style="223" customWidth="1"/>
    <col min="174" max="175" width="27.44140625" style="223" hidden="1" customWidth="1"/>
    <col min="176" max="176" width="21.109375" style="223" customWidth="1"/>
    <col min="177" max="178" width="27.44140625" style="223" hidden="1" customWidth="1"/>
    <col min="179" max="179" width="24.5546875" style="223" customWidth="1"/>
    <col min="180" max="180" width="23.5546875" style="223" customWidth="1"/>
    <col min="181" max="181" width="21.44140625" style="223" customWidth="1"/>
    <col min="182" max="183" width="23.88671875" style="223" customWidth="1"/>
    <col min="184" max="185" width="23.88671875" style="223" hidden="1" customWidth="1"/>
    <col min="186" max="186" width="23.88671875" style="223" customWidth="1"/>
    <col min="187" max="188" width="23.88671875" style="223" hidden="1" customWidth="1"/>
    <col min="189" max="189" width="23.33203125" style="223" customWidth="1"/>
    <col min="190" max="190" width="25.88671875" style="223" hidden="1" customWidth="1"/>
    <col min="191" max="193" width="27.44140625" style="223" hidden="1" customWidth="1"/>
    <col min="194" max="194" width="23.109375" style="223" customWidth="1"/>
    <col min="195" max="195" width="25.88671875" style="223" hidden="1" customWidth="1"/>
    <col min="196" max="196" width="26.6640625" style="223" hidden="1" customWidth="1"/>
    <col min="197" max="198" width="27.44140625" style="223" hidden="1" customWidth="1"/>
    <col min="199" max="199" width="23.88671875" style="223" customWidth="1"/>
    <col min="200" max="201" width="23.88671875" style="223" hidden="1" customWidth="1"/>
    <col min="202" max="203" width="27.44140625" style="223" hidden="1" customWidth="1"/>
    <col min="204" max="204" width="23.5546875" style="223" customWidth="1"/>
    <col min="205" max="206" width="23.5546875" style="223" hidden="1" customWidth="1"/>
    <col min="207" max="208" width="27.44140625" style="223" hidden="1" customWidth="1"/>
    <col min="209" max="209" width="23.109375" style="223" customWidth="1"/>
    <col min="210" max="211" width="26.5546875" style="223" hidden="1" customWidth="1"/>
    <col min="212" max="213" width="27.44140625" style="223" hidden="1" customWidth="1"/>
    <col min="214" max="214" width="22.5546875" style="223" customWidth="1"/>
    <col min="215" max="216" width="27.88671875" style="223" hidden="1" customWidth="1"/>
    <col min="217" max="218" width="27.44140625" style="223" hidden="1" customWidth="1"/>
    <col min="219" max="219" width="21.33203125" style="223" customWidth="1"/>
    <col min="220" max="221" width="25.88671875" style="223" hidden="1" customWidth="1"/>
    <col min="222" max="223" width="27.44140625" style="223" hidden="1" customWidth="1"/>
    <col min="224" max="224" width="24.6640625" style="223" customWidth="1"/>
    <col min="225" max="226" width="24.6640625" style="223" hidden="1" customWidth="1"/>
    <col min="227" max="228" width="27.44140625" style="223" hidden="1" customWidth="1"/>
    <col min="229" max="229" width="27.44140625" style="223" customWidth="1"/>
    <col min="230" max="231" width="27.44140625" style="223" hidden="1" customWidth="1"/>
    <col min="232" max="232" width="27.44140625" style="223" customWidth="1"/>
    <col min="233" max="234" width="27.44140625" style="223" hidden="1" customWidth="1"/>
    <col min="235" max="235" width="27.44140625" style="223" customWidth="1"/>
    <col min="236" max="237" width="27.44140625" style="223" hidden="1" customWidth="1"/>
    <col min="238" max="238" width="27.44140625" style="223" customWidth="1"/>
    <col min="239" max="240" width="27.44140625" style="223" hidden="1" customWidth="1"/>
    <col min="241" max="241" width="23.109375" style="223" customWidth="1"/>
    <col min="242" max="243" width="25" style="223" hidden="1" customWidth="1"/>
    <col min="244" max="244" width="22.5546875" style="223" customWidth="1"/>
    <col min="245" max="246" width="25" style="223" hidden="1" customWidth="1"/>
    <col min="247" max="247" width="23" style="223" customWidth="1"/>
    <col min="248" max="249" width="26.88671875" style="223" hidden="1" customWidth="1"/>
    <col min="250" max="250" width="23" style="223" customWidth="1"/>
    <col min="251" max="251" width="26.109375" style="223" hidden="1" customWidth="1"/>
    <col min="252" max="252" width="25.6640625" style="223" hidden="1" customWidth="1"/>
    <col min="253" max="253" width="23" style="223" customWidth="1"/>
    <col min="254" max="255" width="26.109375" style="223" hidden="1" customWidth="1"/>
    <col min="256" max="256" width="23" style="223" customWidth="1"/>
    <col min="257" max="257" width="26.44140625" style="223" hidden="1" customWidth="1"/>
    <col min="258" max="258" width="32.109375" style="223" hidden="1" customWidth="1"/>
    <col min="259" max="259" width="23.88671875" customWidth="1"/>
    <col min="260" max="261" width="23.88671875" hidden="1" customWidth="1"/>
    <col min="262" max="262" width="23.88671875" customWidth="1"/>
    <col min="263" max="264" width="23.88671875" hidden="1" customWidth="1"/>
    <col min="265" max="265" width="20.5546875" customWidth="1"/>
    <col min="266" max="267" width="23.88671875" hidden="1" customWidth="1"/>
    <col min="268" max="268" width="21.5546875" customWidth="1"/>
    <col min="269" max="270" width="25.6640625" hidden="1" customWidth="1"/>
    <col min="271" max="271" width="24.44140625" customWidth="1"/>
    <col min="272" max="273" width="25.6640625" hidden="1" customWidth="1"/>
    <col min="274" max="274" width="25.6640625" customWidth="1"/>
    <col min="275" max="276" width="25.6640625" hidden="1" customWidth="1"/>
    <col min="277" max="277" width="20.88671875" style="223" customWidth="1"/>
    <col min="278" max="281" width="27.109375" style="223" hidden="1" customWidth="1"/>
    <col min="282" max="282" width="22.109375" style="223" customWidth="1"/>
    <col min="283" max="286" width="25.88671875" style="223" hidden="1" customWidth="1"/>
    <col min="287" max="287" width="24" style="223" customWidth="1"/>
    <col min="288" max="291" width="29.44140625" style="223" hidden="1" customWidth="1"/>
    <col min="292" max="292" width="25.33203125" style="223" customWidth="1"/>
    <col min="293" max="296" width="29.44140625" style="223" hidden="1" customWidth="1"/>
    <col min="297" max="297" width="23.33203125" style="223" customWidth="1"/>
    <col min="298" max="301" width="29.44140625" style="223" hidden="1" customWidth="1"/>
    <col min="302" max="302" width="21.5546875" style="223" customWidth="1"/>
    <col min="303" max="306" width="29.44140625" style="223" hidden="1" customWidth="1"/>
    <col min="307" max="307" width="23.6640625" style="223" customWidth="1"/>
    <col min="308" max="311" width="29.44140625" style="223" hidden="1" customWidth="1"/>
    <col min="312" max="312" width="22.44140625" style="223" customWidth="1"/>
    <col min="313" max="316" width="29.44140625" style="223" hidden="1" customWidth="1"/>
    <col min="317" max="317" width="23" style="223" customWidth="1"/>
    <col min="318" max="318" width="23" style="223" hidden="1" customWidth="1"/>
    <col min="319" max="322" width="25.5546875" style="223" hidden="1" customWidth="1"/>
    <col min="323" max="323" width="23" style="223" customWidth="1"/>
    <col min="324" max="324" width="23" style="223" hidden="1" customWidth="1"/>
    <col min="325" max="328" width="23.88671875" hidden="1" customWidth="1"/>
    <col min="329" max="329" width="23.88671875" customWidth="1"/>
    <col min="330" max="331" width="23.88671875" hidden="1" customWidth="1"/>
    <col min="332" max="332" width="22.5546875" style="223" hidden="1" customWidth="1"/>
    <col min="333" max="333" width="28.5546875" style="223" hidden="1" customWidth="1"/>
    <col min="334" max="334" width="23.88671875" customWidth="1"/>
    <col min="335" max="336" width="23.88671875" hidden="1" customWidth="1"/>
    <col min="337" max="337" width="22.109375" style="223" hidden="1" customWidth="1"/>
    <col min="338" max="338" width="26.88671875" style="223" hidden="1" customWidth="1"/>
    <col min="339" max="339" width="23.88671875" customWidth="1"/>
    <col min="340" max="342" width="23.88671875" hidden="1" customWidth="1"/>
    <col min="343" max="343" width="23.88671875" customWidth="1"/>
    <col min="344" max="346" width="23.88671875" hidden="1" customWidth="1"/>
    <col min="347" max="351" width="23.88671875" customWidth="1"/>
    <col min="352" max="354" width="23.88671875" hidden="1" customWidth="1"/>
    <col min="355" max="355" width="23.88671875" customWidth="1"/>
    <col min="356" max="358" width="26.5546875" hidden="1" customWidth="1"/>
    <col min="359" max="359" width="23.88671875" customWidth="1"/>
    <col min="360" max="362" width="25" hidden="1" customWidth="1"/>
    <col min="363" max="363" width="23.88671875" customWidth="1"/>
    <col min="364" max="366" width="23.88671875" hidden="1" customWidth="1"/>
    <col min="367" max="367" width="23.88671875" customWidth="1"/>
    <col min="368" max="370" width="25" hidden="1" customWidth="1"/>
    <col min="371" max="371" width="23.88671875" customWidth="1"/>
    <col min="372" max="374" width="25.6640625" hidden="1" customWidth="1"/>
    <col min="375" max="375" width="23.88671875" customWidth="1"/>
    <col min="376" max="378" width="25.88671875" hidden="1" customWidth="1"/>
    <col min="379" max="379" width="23.88671875" customWidth="1"/>
    <col min="380" max="382" width="25" hidden="1" customWidth="1"/>
    <col min="383" max="383" width="25" customWidth="1"/>
    <col min="384" max="385" width="25" hidden="1" customWidth="1"/>
    <col min="386" max="386" width="25" customWidth="1"/>
    <col min="387" max="388" width="25" hidden="1" customWidth="1"/>
    <col min="389" max="389" width="23.44140625" style="223" customWidth="1"/>
    <col min="390" max="391" width="23.44140625" style="223" hidden="1" customWidth="1"/>
    <col min="392" max="392" width="25.109375" style="223" hidden="1" customWidth="1"/>
    <col min="393" max="395" width="28.33203125" style="223" hidden="1" customWidth="1"/>
    <col min="396" max="396" width="25" style="223" customWidth="1"/>
    <col min="397" max="398" width="25" style="223" hidden="1" customWidth="1"/>
    <col min="399" max="399" width="23.88671875" style="223" hidden="1" customWidth="1"/>
    <col min="400" max="402" width="28.33203125" style="223" hidden="1" customWidth="1"/>
    <col min="403" max="403" width="24.5546875" style="223" customWidth="1"/>
    <col min="404" max="405" width="24.5546875" style="223" hidden="1" customWidth="1"/>
    <col min="406" max="406" width="22.44140625" style="223" hidden="1" customWidth="1"/>
    <col min="407" max="409" width="28.33203125" style="223" hidden="1" customWidth="1"/>
    <col min="410" max="410" width="26.44140625" style="223" customWidth="1"/>
    <col min="411" max="412" width="26.44140625" style="223" hidden="1" customWidth="1"/>
    <col min="413" max="416" width="28.33203125" style="223" hidden="1" customWidth="1"/>
    <col min="417" max="417" width="28.33203125" style="223" customWidth="1"/>
    <col min="418" max="419" width="28.33203125" style="223" hidden="1" customWidth="1"/>
    <col min="420" max="420" width="24.44140625" style="223" hidden="1" customWidth="1"/>
    <col min="421" max="423" width="28.33203125" style="223" hidden="1" customWidth="1"/>
    <col min="424" max="424" width="28.33203125" style="223" customWidth="1"/>
    <col min="425" max="426" width="28.33203125" style="223" hidden="1" customWidth="1"/>
    <col min="427" max="427" width="24.88671875" style="223" hidden="1" customWidth="1"/>
    <col min="428" max="430" width="28.33203125" style="223" hidden="1" customWidth="1"/>
    <col min="431" max="431" width="24.5546875" style="223" customWidth="1"/>
    <col min="432" max="433" width="27.44140625" style="223" hidden="1" customWidth="1"/>
    <col min="434" max="434" width="24.109375" style="223" customWidth="1"/>
    <col min="435" max="436" width="27.44140625" style="223" hidden="1" customWidth="1"/>
    <col min="437" max="437" width="24.44140625" style="223" customWidth="1"/>
    <col min="438" max="438" width="24.33203125" style="223" hidden="1" customWidth="1"/>
    <col min="439" max="439" width="28.33203125" style="223" hidden="1" customWidth="1"/>
    <col min="440" max="440" width="24.44140625" style="223" customWidth="1"/>
    <col min="441" max="442" width="28.33203125" style="223" hidden="1" customWidth="1"/>
    <col min="443" max="443" width="25" style="223" customWidth="1"/>
    <col min="444" max="445" width="28.33203125" style="223" hidden="1" customWidth="1"/>
    <col min="446" max="446" width="25.44140625" style="223" customWidth="1"/>
    <col min="447" max="448" width="28.33203125" style="223" hidden="1" customWidth="1"/>
    <col min="449" max="449" width="25" style="223" customWidth="1"/>
    <col min="450" max="451" width="28.33203125" style="223" hidden="1" customWidth="1"/>
    <col min="452" max="452" width="24.33203125" style="223" customWidth="1"/>
    <col min="453" max="454" width="28.33203125" style="223" hidden="1" customWidth="1"/>
    <col min="455" max="455" width="28.33203125" style="223" customWidth="1"/>
    <col min="456" max="457" width="28.33203125" style="223" hidden="1" customWidth="1"/>
    <col min="458" max="458" width="28.33203125" style="223" customWidth="1"/>
    <col min="459" max="460" width="28.33203125" style="223" hidden="1" customWidth="1"/>
    <col min="461" max="461" width="28.5546875" style="223" customWidth="1"/>
    <col min="462" max="462" width="29.6640625" style="223" customWidth="1"/>
    <col min="463" max="463" width="24.44140625" style="223" customWidth="1"/>
    <col min="464" max="468" width="23.109375" style="223" customWidth="1"/>
    <col min="469" max="469" width="27" style="223" customWidth="1"/>
    <col min="470" max="470" width="26.5546875" style="223" hidden="1" customWidth="1"/>
    <col min="471" max="471" width="24" style="223" hidden="1" customWidth="1"/>
    <col min="472" max="472" width="26.44140625" style="223" customWidth="1"/>
    <col min="473" max="473" width="24.88671875" style="223" hidden="1" customWidth="1"/>
    <col min="474" max="474" width="24.5546875" style="223" hidden="1" customWidth="1"/>
    <col min="475" max="475" width="26.5546875" style="223" customWidth="1"/>
    <col min="476" max="476" width="24.44140625" style="223" customWidth="1"/>
    <col min="477" max="477" width="24.88671875" style="223" customWidth="1"/>
    <col min="478" max="478" width="23.5546875" style="223" customWidth="1"/>
    <col min="479" max="479" width="24" style="223" customWidth="1"/>
    <col min="480" max="480" width="23.88671875" style="223" customWidth="1"/>
    <col min="481" max="481" width="23.44140625" style="223" customWidth="1"/>
    <col min="482" max="482" width="23.5546875" style="223" customWidth="1"/>
    <col min="483" max="483" width="21.88671875" style="223" customWidth="1"/>
    <col min="484" max="484" width="21.44140625" style="223" customWidth="1"/>
    <col min="485" max="485" width="24.44140625" style="223" customWidth="1"/>
    <col min="486" max="486" width="26.5546875" style="223" customWidth="1"/>
    <col min="487" max="487" width="22" style="223" customWidth="1"/>
    <col min="488" max="488" width="22.44140625" style="223" customWidth="1"/>
    <col min="489" max="492" width="23.88671875" style="223" customWidth="1"/>
    <col min="493" max="493" width="22.33203125" style="223" customWidth="1"/>
    <col min="494" max="495" width="22.109375" style="223" hidden="1" customWidth="1"/>
    <col min="496" max="496" width="22.33203125" style="223" hidden="1" customWidth="1"/>
    <col min="497" max="497" width="21.6640625" style="223" customWidth="1"/>
    <col min="498" max="499" width="23.44140625" style="223" hidden="1" customWidth="1"/>
    <col min="500" max="500" width="24.5546875" style="223" hidden="1" customWidth="1"/>
    <col min="501" max="501" width="25.109375" style="223" customWidth="1"/>
    <col min="502" max="502" width="23.44140625" style="223" customWidth="1"/>
    <col min="503" max="503" width="22" style="223" customWidth="1"/>
    <col min="504" max="505" width="22" style="223" hidden="1" customWidth="1"/>
    <col min="506" max="506" width="22" style="223" customWidth="1"/>
    <col min="507" max="508" width="22" style="223" hidden="1" customWidth="1"/>
    <col min="509" max="509" width="23.44140625" style="223" customWidth="1"/>
    <col min="510" max="510" width="23.33203125" style="223" hidden="1" customWidth="1"/>
    <col min="511" max="511" width="22" style="223" customWidth="1"/>
    <col min="512" max="512" width="22" style="223" hidden="1" customWidth="1"/>
    <col min="513" max="513" width="22" style="223" customWidth="1"/>
    <col min="514" max="514" width="22" style="223" hidden="1" customWidth="1"/>
    <col min="515" max="515" width="22" style="223" customWidth="1"/>
    <col min="516" max="516" width="22" style="223" hidden="1" customWidth="1"/>
    <col min="517" max="520" width="22" style="223" customWidth="1"/>
    <col min="521" max="521" width="25.6640625" style="223" customWidth="1"/>
    <col min="522" max="522" width="23.109375" style="223" hidden="1" customWidth="1"/>
    <col min="523" max="523" width="23.44140625" style="223" customWidth="1"/>
    <col min="524" max="524" width="23" style="223" hidden="1" customWidth="1"/>
    <col min="525" max="525" width="23.44140625" style="223" customWidth="1"/>
    <col min="526" max="526" width="23.44140625" style="223" hidden="1" customWidth="1"/>
    <col min="527" max="527" width="23.44140625" style="223" customWidth="1"/>
    <col min="528" max="528" width="23.44140625" style="223" hidden="1" customWidth="1"/>
    <col min="529" max="533" width="23.44140625" style="223" customWidth="1"/>
    <col min="534" max="534" width="23.44140625" style="223" hidden="1" customWidth="1"/>
    <col min="535" max="535" width="23.44140625" style="223" customWidth="1"/>
    <col min="536" max="536" width="23.44140625" style="223" hidden="1" customWidth="1"/>
    <col min="537" max="537" width="23.44140625" style="223" customWidth="1"/>
    <col min="538" max="538" width="23.44140625" style="223" hidden="1" customWidth="1"/>
    <col min="539" max="539" width="23.44140625" style="223" customWidth="1"/>
    <col min="540" max="540" width="23.44140625" style="223" hidden="1" customWidth="1"/>
    <col min="541" max="545" width="23.44140625" style="223" customWidth="1"/>
    <col min="546" max="547" width="23.44140625" style="223" hidden="1" customWidth="1"/>
    <col min="548" max="548" width="23.44140625" style="223" customWidth="1"/>
    <col min="549" max="550" width="23.44140625" style="223" hidden="1" customWidth="1"/>
    <col min="551" max="551" width="23.44140625" style="223" customWidth="1"/>
    <col min="552" max="553" width="23.44140625" style="223" hidden="1" customWidth="1"/>
    <col min="554" max="554" width="23.44140625" style="223" customWidth="1"/>
    <col min="555" max="556" width="23.44140625" style="223" hidden="1" customWidth="1"/>
    <col min="557" max="560" width="23.44140625" style="223" customWidth="1"/>
    <col min="561" max="561" width="24.44140625" style="223" customWidth="1"/>
    <col min="562" max="563" width="27.33203125" style="223" hidden="1" customWidth="1"/>
    <col min="564" max="564" width="24.6640625" style="223" customWidth="1"/>
    <col min="565" max="566" width="27.33203125" style="223" hidden="1" customWidth="1"/>
    <col min="567" max="567" width="25.33203125" style="223" customWidth="1"/>
    <col min="568" max="569" width="27.33203125" style="223" hidden="1" customWidth="1"/>
    <col min="570" max="570" width="24" style="223" customWidth="1"/>
    <col min="571" max="572" width="27.33203125" style="223" hidden="1" customWidth="1"/>
    <col min="573" max="573" width="22.5546875" style="223" customWidth="1"/>
    <col min="574" max="576" width="22.5546875" style="223" hidden="1" customWidth="1"/>
    <col min="577" max="577" width="22" style="223" customWidth="1"/>
    <col min="578" max="580" width="22" style="223" hidden="1" customWidth="1"/>
    <col min="581" max="581" width="20.5546875" style="223" customWidth="1"/>
    <col min="582" max="582" width="20.5546875" style="223" hidden="1" customWidth="1"/>
    <col min="583" max="583" width="20.5546875" style="223" customWidth="1"/>
    <col min="584" max="584" width="20.5546875" style="223" hidden="1" customWidth="1"/>
    <col min="585" max="585" width="20.5546875" style="223" customWidth="1"/>
    <col min="586" max="586" width="20.5546875" style="223" hidden="1" customWidth="1"/>
    <col min="587" max="587" width="20.5546875" style="223" customWidth="1"/>
    <col min="588" max="588" width="20.5546875" style="223" hidden="1" customWidth="1"/>
    <col min="589" max="589" width="20.5546875" style="223" customWidth="1"/>
    <col min="590" max="590" width="20.5546875" style="223" hidden="1" customWidth="1"/>
    <col min="591" max="591" width="20.5546875" style="223" customWidth="1"/>
    <col min="592" max="592" width="20.5546875" style="223" hidden="1" customWidth="1"/>
    <col min="593" max="593" width="25.44140625" style="223" customWidth="1"/>
    <col min="594" max="594" width="24.5546875" style="223" customWidth="1"/>
    <col min="595" max="595" width="25" style="223" customWidth="1"/>
    <col min="596" max="596" width="26.44140625" style="223" customWidth="1"/>
    <col min="597" max="598" width="22.5546875" style="223" customWidth="1"/>
    <col min="599" max="599" width="23.88671875" style="223" customWidth="1"/>
    <col min="600" max="600" width="22.109375" style="223" customWidth="1"/>
    <col min="601" max="602" width="22.5546875" style="223" customWidth="1"/>
    <col min="603" max="603" width="24.109375" style="223" customWidth="1"/>
    <col min="604" max="604" width="24.44140625" style="223" customWidth="1"/>
    <col min="605" max="605" width="23.44140625" style="223" customWidth="1"/>
    <col min="606" max="606" width="23.5546875" style="223" customWidth="1"/>
    <col min="607" max="607" width="23.109375" style="223" customWidth="1"/>
    <col min="608" max="608" width="23.88671875" style="223" customWidth="1"/>
    <col min="609" max="610" width="23.44140625" style="223" customWidth="1"/>
    <col min="611" max="611" width="28.109375" style="223" customWidth="1"/>
    <col min="612" max="612" width="28.5546875" style="223" customWidth="1"/>
  </cols>
  <sheetData>
    <row r="2" spans="1:613" x14ac:dyDescent="0.25">
      <c r="F2" s="1758" t="s">
        <v>456</v>
      </c>
      <c r="G2" s="1758"/>
      <c r="H2" s="1758"/>
      <c r="I2" s="1758"/>
      <c r="MR2" s="223"/>
      <c r="MS2" s="223"/>
    </row>
    <row r="3" spans="1:613" x14ac:dyDescent="0.25">
      <c r="F3" s="1757" t="str">
        <f>'[1]Факт  средств  из  ОБ_год '!$D$4</f>
        <v>ПО  СОСТОЯНИЮ  НА  1  ИЮЛЯ  2020  ГОДА</v>
      </c>
      <c r="G3" s="1757"/>
      <c r="H3" s="1757"/>
      <c r="I3" s="1757"/>
      <c r="TA3" s="232"/>
      <c r="TB3" s="232"/>
      <c r="VX3" s="232"/>
    </row>
    <row r="4" spans="1:613" x14ac:dyDescent="0.25">
      <c r="IY4" s="72"/>
      <c r="IZ4" s="72"/>
      <c r="JA4" s="72"/>
      <c r="JB4" s="72"/>
      <c r="JC4" s="72"/>
      <c r="JD4" s="72"/>
      <c r="JE4" s="72"/>
      <c r="JF4" s="72"/>
      <c r="JG4" s="72"/>
      <c r="JH4" s="72"/>
      <c r="JI4" s="72"/>
      <c r="JJ4" s="72"/>
      <c r="JK4" s="72"/>
      <c r="JL4" s="72"/>
      <c r="JM4" s="72"/>
      <c r="JN4" s="72"/>
      <c r="JO4" s="72"/>
      <c r="JP4" s="72"/>
    </row>
    <row r="5" spans="1:613" ht="17.399999999999999" thickBot="1" x14ac:dyDescent="0.3">
      <c r="O5" s="223" t="s">
        <v>20</v>
      </c>
      <c r="IY5" s="72"/>
      <c r="IZ5" s="72"/>
      <c r="JA5" s="72"/>
      <c r="JC5" s="72"/>
      <c r="JD5" s="72"/>
      <c r="JE5" s="72"/>
      <c r="JF5" s="72"/>
      <c r="JG5" s="72"/>
      <c r="JH5" s="72"/>
      <c r="JI5" s="72"/>
      <c r="JJ5" s="72"/>
      <c r="JK5" s="72"/>
      <c r="JL5" s="72"/>
      <c r="JM5" s="72"/>
      <c r="JN5" s="72"/>
      <c r="JO5" s="72"/>
      <c r="JP5" s="72"/>
      <c r="LQ5" s="72"/>
      <c r="MK5" s="223"/>
    </row>
    <row r="6" spans="1:613" ht="49.5" customHeight="1" thickBot="1" x14ac:dyDescent="0.35">
      <c r="A6" s="1723" t="s">
        <v>12</v>
      </c>
      <c r="B6" s="1671" t="s">
        <v>151</v>
      </c>
      <c r="C6" s="1672"/>
      <c r="D6" s="1178"/>
      <c r="E6" s="1177"/>
      <c r="F6" s="1223" t="s">
        <v>38</v>
      </c>
      <c r="G6" s="1177"/>
      <c r="H6" s="1177"/>
      <c r="I6" s="1177"/>
      <c r="J6" s="1177"/>
      <c r="K6" s="1177"/>
      <c r="L6" s="1177"/>
      <c r="M6" s="1177"/>
      <c r="N6" s="1177"/>
      <c r="O6" s="1177"/>
      <c r="P6" s="1177"/>
      <c r="Q6" s="1177"/>
      <c r="R6" s="1177"/>
      <c r="S6" s="1177"/>
      <c r="T6" s="1177"/>
      <c r="U6" s="1177"/>
      <c r="V6" s="1177"/>
      <c r="W6" s="1177"/>
      <c r="X6" s="1177"/>
      <c r="Y6" s="1177"/>
      <c r="Z6" s="1177"/>
      <c r="AA6" s="1177"/>
      <c r="AB6" s="1177"/>
      <c r="AC6" s="1177"/>
      <c r="AD6" s="1177"/>
      <c r="AE6" s="1177"/>
      <c r="AF6" s="1177"/>
      <c r="AG6" s="1177"/>
      <c r="AH6" s="1177"/>
      <c r="AI6" s="1177"/>
      <c r="AJ6" s="1177"/>
      <c r="AK6" s="1197"/>
      <c r="AL6" s="1197"/>
      <c r="AM6" s="1197"/>
      <c r="AN6" s="1197"/>
      <c r="AO6" s="1197"/>
      <c r="AP6" s="1197"/>
      <c r="AQ6" s="1197"/>
      <c r="AR6" s="1197"/>
      <c r="AS6" s="1197"/>
      <c r="AT6" s="1197"/>
      <c r="AU6" s="1197"/>
      <c r="AV6" s="1197"/>
      <c r="AW6" s="1197"/>
      <c r="AX6" s="1197"/>
      <c r="AY6" s="1197"/>
      <c r="AZ6" s="1197"/>
      <c r="BA6" s="1197"/>
      <c r="BB6" s="1197"/>
      <c r="BC6" s="1197"/>
      <c r="BD6" s="1197"/>
      <c r="BE6" s="1197"/>
      <c r="BF6" s="1197"/>
      <c r="BG6" s="1197"/>
      <c r="BH6" s="1197"/>
      <c r="BI6" s="1197"/>
      <c r="BJ6" s="1197"/>
      <c r="BK6" s="1197"/>
      <c r="BL6" s="1197"/>
      <c r="BM6" s="1197"/>
      <c r="BN6" s="1197"/>
      <c r="BO6" s="1197"/>
      <c r="BP6" s="1197"/>
      <c r="BQ6" s="1197"/>
      <c r="BR6" s="1197"/>
      <c r="BS6" s="1177"/>
      <c r="BT6" s="1177"/>
      <c r="BU6" s="1177"/>
      <c r="BV6" s="1177"/>
      <c r="BW6" s="1177"/>
      <c r="BX6" s="1177"/>
      <c r="BY6" s="1177"/>
      <c r="BZ6" s="1177"/>
      <c r="CA6" s="1177"/>
      <c r="CB6" s="1177"/>
      <c r="CC6" s="1177"/>
      <c r="CD6" s="1177"/>
      <c r="CE6" s="1177"/>
      <c r="CF6" s="1177"/>
      <c r="CG6" s="1177"/>
      <c r="CH6" s="1177"/>
      <c r="CI6" s="1177"/>
      <c r="CJ6" s="1177"/>
      <c r="CK6" s="1177"/>
      <c r="CL6" s="1177"/>
      <c r="CM6" s="1456"/>
      <c r="CN6" s="1456"/>
      <c r="CO6" s="1456"/>
      <c r="CP6" s="1456"/>
      <c r="CQ6" s="1177"/>
      <c r="CR6" s="1177"/>
      <c r="CS6" s="1177"/>
      <c r="CT6" s="1177"/>
      <c r="CU6" s="1177"/>
      <c r="CV6" s="1177"/>
      <c r="CW6" s="1177"/>
      <c r="CX6" s="1177"/>
      <c r="CY6" s="1177"/>
      <c r="CZ6" s="1177"/>
      <c r="DA6" s="1177"/>
      <c r="DB6" s="1177"/>
      <c r="DC6" s="1177"/>
      <c r="DD6" s="1177"/>
      <c r="DE6" s="1177"/>
      <c r="DF6" s="1177"/>
      <c r="DG6" s="1260"/>
      <c r="DH6" s="1260"/>
      <c r="DI6" s="1260"/>
      <c r="DJ6" s="1260"/>
      <c r="DK6" s="1260"/>
      <c r="DL6" s="1260"/>
      <c r="DM6" s="1177"/>
      <c r="DN6" s="1177"/>
      <c r="DO6" s="1177"/>
      <c r="DP6" s="1177"/>
      <c r="DQ6" s="1177"/>
      <c r="DR6" s="1177"/>
      <c r="DS6" s="1177"/>
      <c r="DT6" s="1177"/>
      <c r="DU6" s="1177"/>
      <c r="DV6" s="1177"/>
      <c r="DW6" s="1177"/>
      <c r="DX6" s="1177"/>
      <c r="DY6" s="1177"/>
      <c r="DZ6" s="1177"/>
      <c r="EA6" s="1177"/>
      <c r="EB6" s="1177"/>
      <c r="EC6" s="1177"/>
      <c r="ED6" s="1177"/>
      <c r="EE6" s="1177"/>
      <c r="EF6" s="1177"/>
      <c r="EG6" s="1177"/>
      <c r="EH6" s="1177"/>
      <c r="EI6" s="1177"/>
      <c r="EJ6" s="1177"/>
      <c r="EK6" s="1177"/>
      <c r="EL6" s="1177"/>
      <c r="EM6" s="1177"/>
      <c r="EN6" s="1177"/>
      <c r="EO6" s="1177"/>
      <c r="EP6" s="1177"/>
      <c r="EQ6" s="1177"/>
      <c r="ER6" s="1177"/>
      <c r="ES6" s="1177"/>
      <c r="ET6" s="1177"/>
      <c r="EU6" s="1177"/>
      <c r="EV6" s="1177"/>
      <c r="EW6" s="1177"/>
      <c r="EX6" s="1177"/>
      <c r="EY6" s="1177"/>
      <c r="EZ6" s="1177"/>
      <c r="FA6" s="1177"/>
      <c r="FB6" s="1177"/>
      <c r="FC6" s="1177"/>
      <c r="FD6" s="1177"/>
      <c r="FE6" s="1177"/>
      <c r="FF6" s="1177"/>
      <c r="FG6" s="1177"/>
      <c r="FH6" s="1177"/>
      <c r="FI6" s="1177"/>
      <c r="FJ6" s="1177"/>
      <c r="FK6" s="1177"/>
      <c r="FL6" s="1177"/>
      <c r="FM6" s="1177"/>
      <c r="FN6" s="1177"/>
      <c r="FO6" s="1177"/>
      <c r="FP6" s="1177"/>
      <c r="FQ6" s="1299"/>
      <c r="FR6" s="1299"/>
      <c r="FS6" s="1299"/>
      <c r="FT6" s="1299"/>
      <c r="FU6" s="1299"/>
      <c r="FV6" s="1299"/>
      <c r="FW6" s="1299"/>
      <c r="FX6" s="1299"/>
      <c r="FY6" s="1299"/>
      <c r="FZ6" s="1299"/>
      <c r="GA6" s="1391"/>
      <c r="GB6" s="1391"/>
      <c r="GC6" s="1391"/>
      <c r="GD6" s="1391"/>
      <c r="GE6" s="1391"/>
      <c r="GF6" s="1391"/>
      <c r="GG6" s="1245"/>
      <c r="GH6" s="1370"/>
      <c r="GI6" s="1370"/>
      <c r="GJ6" s="1245"/>
      <c r="GK6" s="1245"/>
      <c r="GL6" s="1245"/>
      <c r="GM6" s="1370"/>
      <c r="GN6" s="1370"/>
      <c r="GO6" s="1245"/>
      <c r="GP6" s="1245"/>
      <c r="GQ6" s="1245"/>
      <c r="GR6" s="1370"/>
      <c r="GS6" s="1370"/>
      <c r="GT6" s="1245"/>
      <c r="GU6" s="1245"/>
      <c r="GV6" s="1245"/>
      <c r="GW6" s="1370"/>
      <c r="GX6" s="1370"/>
      <c r="GY6" s="1245"/>
      <c r="GZ6" s="1245"/>
      <c r="HA6" s="1245"/>
      <c r="HB6" s="1370"/>
      <c r="HC6" s="1370"/>
      <c r="HD6" s="1245"/>
      <c r="HE6" s="1245"/>
      <c r="HF6" s="1245"/>
      <c r="HG6" s="1370"/>
      <c r="HH6" s="1370"/>
      <c r="HI6" s="1245"/>
      <c r="HJ6" s="1245"/>
      <c r="HK6" s="1245"/>
      <c r="HL6" s="1370"/>
      <c r="HM6" s="1370"/>
      <c r="HN6" s="1245"/>
      <c r="HO6" s="1245"/>
      <c r="HP6" s="1245"/>
      <c r="HQ6" s="1370"/>
      <c r="HR6" s="1370"/>
      <c r="HS6" s="1245"/>
      <c r="HT6" s="1245"/>
      <c r="HU6" s="1476"/>
      <c r="HV6" s="1476"/>
      <c r="HW6" s="1476"/>
      <c r="HX6" s="1476"/>
      <c r="HY6" s="1476"/>
      <c r="HZ6" s="1476"/>
      <c r="IA6" s="1591"/>
      <c r="IB6" s="1591"/>
      <c r="IC6" s="1591"/>
      <c r="ID6" s="1591"/>
      <c r="IE6" s="1591"/>
      <c r="IF6" s="1591"/>
      <c r="IG6" s="1177"/>
      <c r="IH6" s="1177"/>
      <c r="II6" s="1177"/>
      <c r="IJ6" s="1177"/>
      <c r="IK6" s="1177"/>
      <c r="IL6" s="1177"/>
      <c r="IM6" s="1177"/>
      <c r="IN6" s="1177"/>
      <c r="IO6" s="1177"/>
      <c r="IP6" s="1177"/>
      <c r="IQ6" s="1177"/>
      <c r="IR6" s="1177"/>
      <c r="IS6" s="1177"/>
      <c r="IT6" s="1177"/>
      <c r="IU6" s="1177"/>
      <c r="IV6" s="1177"/>
      <c r="IW6" s="1177"/>
      <c r="IX6" s="1177"/>
      <c r="IY6" s="1177"/>
      <c r="IZ6" s="1177"/>
      <c r="JA6" s="1177"/>
      <c r="JB6" s="1177"/>
      <c r="JC6" s="1177"/>
      <c r="JD6" s="1177"/>
      <c r="JE6" s="1177"/>
      <c r="JF6" s="1177"/>
      <c r="JG6" s="1177"/>
      <c r="JH6" s="1177"/>
      <c r="JI6" s="1177"/>
      <c r="JJ6" s="1177"/>
      <c r="JK6" s="1223"/>
      <c r="JL6" s="1223"/>
      <c r="JM6" s="1223"/>
      <c r="JN6" s="1223"/>
      <c r="JO6" s="1223"/>
      <c r="JP6" s="1223"/>
      <c r="JQ6" s="1177"/>
      <c r="JR6" s="1177"/>
      <c r="JS6" s="1177"/>
      <c r="JT6" s="1177"/>
      <c r="JU6" s="1177"/>
      <c r="JV6" s="1177"/>
      <c r="JW6" s="1177"/>
      <c r="JX6" s="1177"/>
      <c r="JY6" s="1177"/>
      <c r="JZ6" s="1177"/>
      <c r="KA6" s="1177"/>
      <c r="KB6" s="1177"/>
      <c r="KC6" s="1177"/>
      <c r="KD6" s="1177"/>
      <c r="KE6" s="1177"/>
      <c r="KF6" s="1177"/>
      <c r="KG6" s="1177"/>
      <c r="KH6" s="1177"/>
      <c r="KI6" s="1177"/>
      <c r="KJ6" s="1177"/>
      <c r="KK6" s="1177"/>
      <c r="KL6" s="1177"/>
      <c r="KM6" s="1177"/>
      <c r="KN6" s="1177"/>
      <c r="KO6" s="1177"/>
      <c r="KP6" s="1177"/>
      <c r="KQ6" s="1177"/>
      <c r="KR6" s="1177"/>
      <c r="KS6" s="1177"/>
      <c r="KT6" s="1177"/>
      <c r="KU6" s="1177"/>
      <c r="KV6" s="1177"/>
      <c r="KW6" s="1177"/>
      <c r="KX6" s="1177"/>
      <c r="KY6" s="1177"/>
      <c r="KZ6" s="1177"/>
      <c r="LA6" s="1177"/>
      <c r="LB6" s="1177"/>
      <c r="LC6" s="1177"/>
      <c r="LD6" s="1177"/>
      <c r="LE6" s="1177"/>
      <c r="LF6" s="1177"/>
      <c r="LG6" s="1177"/>
      <c r="LH6" s="1311"/>
      <c r="LI6" s="1311"/>
      <c r="LJ6" s="1223"/>
      <c r="LK6" s="1177"/>
      <c r="LL6" s="1177"/>
      <c r="LM6" s="1177"/>
      <c r="LN6" s="1311"/>
      <c r="LO6" s="1311"/>
      <c r="LP6" s="1223"/>
      <c r="LQ6" s="1177"/>
      <c r="LR6" s="1232"/>
      <c r="LS6" s="1226"/>
      <c r="LT6" s="1177"/>
      <c r="LU6" s="1177"/>
      <c r="LV6" s="1177"/>
      <c r="LW6" s="1232"/>
      <c r="LX6" s="1226"/>
      <c r="LY6" s="1177"/>
      <c r="LZ6" s="1177"/>
      <c r="MA6" s="1177"/>
      <c r="MB6" s="1177"/>
      <c r="MC6" s="1177"/>
      <c r="MD6" s="1177"/>
      <c r="ME6" s="1177"/>
      <c r="MF6" s="1177"/>
      <c r="MG6" s="1177"/>
      <c r="MH6" s="1177"/>
      <c r="MI6" s="1177"/>
      <c r="MJ6" s="1177"/>
      <c r="MK6" s="1177"/>
      <c r="ML6" s="1177"/>
      <c r="MM6" s="1177"/>
      <c r="MN6" s="1177"/>
      <c r="MO6" s="1177"/>
      <c r="MP6" s="1236"/>
      <c r="MQ6" s="1177"/>
      <c r="MR6" s="1177"/>
      <c r="MS6" s="1177"/>
      <c r="MT6" s="1236"/>
      <c r="MU6" s="1177"/>
      <c r="MV6" s="1177"/>
      <c r="MW6" s="1177"/>
      <c r="MX6" s="1236"/>
      <c r="MY6" s="1177"/>
      <c r="MZ6" s="1177"/>
      <c r="NA6" s="1177"/>
      <c r="NB6" s="1236"/>
      <c r="NC6" s="1177"/>
      <c r="ND6" s="1177"/>
      <c r="NE6" s="1177"/>
      <c r="NF6" s="1236"/>
      <c r="NG6" s="1177"/>
      <c r="NH6" s="1177"/>
      <c r="NI6" s="1177"/>
      <c r="NJ6" s="1236"/>
      <c r="NK6" s="1177"/>
      <c r="NL6" s="1177"/>
      <c r="NM6" s="1177"/>
      <c r="NN6" s="1236"/>
      <c r="NO6" s="1177"/>
      <c r="NP6" s="1177"/>
      <c r="NQ6" s="1177"/>
      <c r="NR6" s="1236"/>
      <c r="NS6" s="1624"/>
      <c r="NT6" s="1624"/>
      <c r="NU6" s="1624"/>
      <c r="NV6" s="1624"/>
      <c r="NW6" s="1624"/>
      <c r="NX6" s="1624"/>
      <c r="NY6" s="1276"/>
      <c r="NZ6" s="1624"/>
      <c r="OA6" s="1624"/>
      <c r="OB6" s="1276"/>
      <c r="OC6" s="1276"/>
      <c r="OD6" s="1624"/>
      <c r="OE6" s="1624"/>
      <c r="OF6" s="1276"/>
      <c r="OG6" s="1624"/>
      <c r="OH6" s="1624"/>
      <c r="OI6" s="1276"/>
      <c r="OJ6" s="1276"/>
      <c r="OK6" s="1624"/>
      <c r="OL6" s="1624"/>
      <c r="OM6" s="1276"/>
      <c r="ON6" s="1624"/>
      <c r="OO6" s="1624"/>
      <c r="OP6" s="1276"/>
      <c r="OQ6" s="1276"/>
      <c r="OR6" s="1624"/>
      <c r="OS6" s="1624"/>
      <c r="OT6" s="1276"/>
      <c r="OU6" s="1624"/>
      <c r="OV6" s="1624"/>
      <c r="OW6" s="1276"/>
      <c r="OX6" s="1276"/>
      <c r="OY6" s="1624"/>
      <c r="OZ6" s="1624"/>
      <c r="PA6" s="1276"/>
      <c r="PB6" s="1624"/>
      <c r="PC6" s="1624"/>
      <c r="PD6" s="1276"/>
      <c r="PE6" s="1276"/>
      <c r="PF6" s="1624"/>
      <c r="PG6" s="1624"/>
      <c r="PH6" s="1276"/>
      <c r="PI6" s="1624"/>
      <c r="PJ6" s="1624"/>
      <c r="PK6" s="1276"/>
      <c r="PL6" s="1276"/>
      <c r="PM6" s="1624"/>
      <c r="PN6" s="1624"/>
      <c r="PO6" s="1177"/>
      <c r="PP6" s="1177"/>
      <c r="PQ6" s="1177"/>
      <c r="PR6" s="1177"/>
      <c r="PS6" s="1177"/>
      <c r="PT6" s="1177"/>
      <c r="PU6" s="1293"/>
      <c r="PV6" s="1293"/>
      <c r="PW6" s="1293"/>
      <c r="PX6" s="1293"/>
      <c r="PY6" s="1293"/>
      <c r="PZ6" s="1293"/>
      <c r="QA6" s="1276"/>
      <c r="QB6" s="1293"/>
      <c r="QC6" s="1293"/>
      <c r="QD6" s="1276"/>
      <c r="QE6" s="1293"/>
      <c r="QF6" s="1293"/>
      <c r="QG6" s="1276"/>
      <c r="QH6" s="1293"/>
      <c r="QI6" s="1293"/>
      <c r="QJ6" s="1276"/>
      <c r="QK6" s="1293"/>
      <c r="QL6" s="1293"/>
      <c r="QM6" s="1276"/>
      <c r="QN6" s="1293"/>
      <c r="QO6" s="1293"/>
      <c r="QP6" s="1276"/>
      <c r="QQ6" s="1293"/>
      <c r="QR6" s="1293"/>
      <c r="QS6" s="1177"/>
      <c r="QT6" s="1177"/>
      <c r="QU6" s="1177"/>
      <c r="QV6" s="1177"/>
      <c r="QW6" s="1177"/>
      <c r="QX6" s="1177"/>
      <c r="QY6" s="1177"/>
      <c r="QZ6" s="1177"/>
      <c r="RA6" s="1177"/>
      <c r="RB6" s="1177"/>
      <c r="RC6" s="1177"/>
      <c r="RD6" s="1177"/>
      <c r="RE6" s="1177"/>
      <c r="RF6" s="1177"/>
      <c r="RG6" s="1177"/>
      <c r="RH6" s="1177"/>
      <c r="RI6" s="1177"/>
      <c r="RJ6" s="1177"/>
      <c r="RK6" s="1177"/>
      <c r="RL6" s="1177"/>
      <c r="RM6" s="1177"/>
      <c r="RN6" s="1177"/>
      <c r="RO6" s="1177"/>
      <c r="RP6" s="1177"/>
      <c r="RQ6" s="1177"/>
      <c r="RR6" s="1177"/>
      <c r="RS6" s="1177"/>
      <c r="RT6" s="1177"/>
      <c r="RU6" s="1177"/>
      <c r="RV6" s="1177"/>
      <c r="RW6" s="1236"/>
      <c r="RX6" s="1236"/>
      <c r="RY6" s="1177"/>
      <c r="RZ6" s="1177"/>
      <c r="SA6" s="1644"/>
      <c r="SB6" s="1177"/>
      <c r="SC6" s="1177"/>
      <c r="SD6" s="1177"/>
      <c r="SE6" s="1644"/>
      <c r="SF6" s="1177"/>
      <c r="SG6" s="1177"/>
      <c r="SH6" s="1177"/>
      <c r="SI6" s="1476"/>
      <c r="SJ6" s="1476"/>
      <c r="SK6" s="1476"/>
      <c r="SL6" s="1476"/>
      <c r="SM6" s="1476"/>
      <c r="SN6" s="1476"/>
      <c r="SO6" s="1311"/>
      <c r="SP6" s="1311"/>
      <c r="SQ6" s="1311"/>
      <c r="SR6" s="1311"/>
      <c r="SS6" s="1311"/>
      <c r="ST6" s="1311"/>
      <c r="SU6" s="1311"/>
      <c r="SV6" s="1311"/>
      <c r="SW6" s="1311"/>
      <c r="SX6" s="1311"/>
      <c r="SY6" s="1311"/>
      <c r="SZ6" s="1311"/>
      <c r="TA6" s="1177"/>
      <c r="TB6" s="1177"/>
      <c r="TC6" s="1177"/>
      <c r="TD6" s="1177"/>
      <c r="TE6" s="1177"/>
      <c r="TF6" s="1177"/>
      <c r="TG6" s="1177"/>
      <c r="TH6" s="1177"/>
      <c r="TI6" s="1177"/>
      <c r="TJ6" s="1177"/>
      <c r="TK6" s="1177"/>
      <c r="TL6" s="1177"/>
      <c r="TM6" s="1314"/>
      <c r="TN6" s="1314"/>
      <c r="TO6" s="1314"/>
      <c r="TP6" s="1314"/>
      <c r="TQ6" s="1314"/>
      <c r="TR6" s="1314"/>
      <c r="TS6" s="1314"/>
      <c r="TT6" s="1314"/>
      <c r="TU6" s="1314"/>
      <c r="TV6" s="1314"/>
      <c r="TW6" s="1314"/>
      <c r="TX6" s="1314"/>
      <c r="TY6" s="1622"/>
      <c r="TZ6" s="1622"/>
      <c r="UA6" s="1622"/>
      <c r="UB6" s="1622"/>
      <c r="UC6" s="1622"/>
      <c r="UD6" s="1622"/>
      <c r="UE6" s="1467"/>
      <c r="UF6" s="1467"/>
      <c r="UG6" s="1467"/>
      <c r="UH6" s="1467"/>
      <c r="UI6" s="1467"/>
      <c r="UJ6" s="1467"/>
      <c r="UK6" s="1467"/>
      <c r="UL6" s="1467"/>
      <c r="UM6" s="1467"/>
      <c r="UN6" s="1467"/>
      <c r="UO6" s="1263"/>
      <c r="UP6" s="1263"/>
      <c r="UQ6" s="1263"/>
      <c r="UR6" s="1263"/>
      <c r="US6" s="1263"/>
      <c r="UT6" s="1263"/>
      <c r="UU6" s="1263"/>
      <c r="UV6" s="1263"/>
      <c r="UW6" s="1263"/>
      <c r="UX6" s="1263"/>
      <c r="UY6" s="1263"/>
      <c r="UZ6" s="1263"/>
      <c r="VA6" s="1177"/>
      <c r="VB6" s="1600"/>
      <c r="VC6" s="1600"/>
      <c r="VD6" s="1600"/>
      <c r="VE6" s="1177"/>
      <c r="VF6" s="1600"/>
      <c r="VG6" s="1600"/>
      <c r="VH6" s="1600"/>
      <c r="VI6" s="1177"/>
      <c r="VJ6" s="1177"/>
      <c r="VK6" s="1177"/>
      <c r="VL6" s="1177"/>
      <c r="VM6" s="1177"/>
      <c r="VN6" s="1177"/>
      <c r="VO6" s="1177"/>
      <c r="VP6" s="1177"/>
      <c r="VQ6" s="1177"/>
      <c r="VR6" s="1177"/>
      <c r="VS6" s="1177"/>
      <c r="VT6" s="1176"/>
      <c r="VU6" s="1128"/>
      <c r="VV6" s="1128"/>
      <c r="VW6" s="1128"/>
      <c r="VX6" s="1128"/>
      <c r="VY6" s="1128"/>
      <c r="VZ6" s="1128"/>
      <c r="WA6" s="1128"/>
      <c r="WB6" s="1128"/>
      <c r="WC6" s="1128"/>
      <c r="WD6" s="1128"/>
      <c r="WE6" s="1128"/>
      <c r="WF6" s="1128"/>
      <c r="WG6" s="1128"/>
      <c r="WH6" s="1128"/>
      <c r="WI6" s="1128"/>
      <c r="WJ6" s="1128"/>
      <c r="WK6" s="1128"/>
      <c r="WL6" s="1129"/>
      <c r="WO6" s="72"/>
    </row>
    <row r="7" spans="1:613" ht="75.75" customHeight="1" thickBot="1" x14ac:dyDescent="0.3">
      <c r="A7" s="1724"/>
      <c r="B7" s="1726"/>
      <c r="C7" s="1727"/>
      <c r="D7" s="1673" t="s">
        <v>694</v>
      </c>
      <c r="E7" s="1674"/>
      <c r="F7" s="1674"/>
      <c r="G7" s="1674"/>
      <c r="H7" s="1674"/>
      <c r="I7" s="1674"/>
      <c r="J7" s="1674"/>
      <c r="K7" s="1674"/>
      <c r="L7" s="1674"/>
      <c r="M7" s="1674"/>
      <c r="N7" s="1674"/>
      <c r="O7" s="1674"/>
      <c r="P7" s="1674"/>
      <c r="Q7" s="1674"/>
      <c r="R7" s="1674"/>
      <c r="S7" s="1674"/>
      <c r="T7" s="1674"/>
      <c r="U7" s="1674"/>
      <c r="V7" s="1674"/>
      <c r="W7" s="1674"/>
      <c r="X7" s="1674"/>
      <c r="Y7" s="1674"/>
      <c r="Z7" s="1674"/>
      <c r="AA7" s="1674"/>
      <c r="AB7" s="1674"/>
      <c r="AC7" s="1674"/>
      <c r="AD7" s="1674"/>
      <c r="AE7" s="1674"/>
      <c r="AF7" s="1674"/>
      <c r="AG7" s="1674"/>
      <c r="AH7" s="1674"/>
      <c r="AI7" s="1658" t="s">
        <v>687</v>
      </c>
      <c r="AJ7" s="1659"/>
      <c r="AK7" s="1659"/>
      <c r="AL7" s="1659"/>
      <c r="AM7" s="1659"/>
      <c r="AN7" s="1659"/>
      <c r="AO7" s="1659"/>
      <c r="AP7" s="1659"/>
      <c r="AQ7" s="1659"/>
      <c r="AR7" s="1659"/>
      <c r="AS7" s="1659"/>
      <c r="AT7" s="1659"/>
      <c r="AU7" s="1659"/>
      <c r="AV7" s="1659"/>
      <c r="AW7" s="1659"/>
      <c r="AX7" s="1659"/>
      <c r="AY7" s="1659"/>
      <c r="AZ7" s="1659"/>
      <c r="BA7" s="1659"/>
      <c r="BB7" s="1659"/>
      <c r="BC7" s="1659"/>
      <c r="BD7" s="1659"/>
      <c r="BE7" s="1659"/>
      <c r="BF7" s="1659"/>
      <c r="BG7" s="1659"/>
      <c r="BH7" s="1659"/>
      <c r="BI7" s="1659"/>
      <c r="BJ7" s="1659"/>
      <c r="BK7" s="1659"/>
      <c r="BL7" s="1659"/>
      <c r="BM7" s="1659"/>
      <c r="BN7" s="1659"/>
      <c r="BO7" s="1659"/>
      <c r="BP7" s="1659"/>
      <c r="BQ7" s="1659"/>
      <c r="BR7" s="1659"/>
      <c r="BS7" s="1659"/>
      <c r="BT7" s="1659"/>
      <c r="BU7" s="1659"/>
      <c r="BV7" s="1659"/>
      <c r="BW7" s="1659"/>
      <c r="BX7" s="1659"/>
      <c r="BY7" s="1659"/>
      <c r="BZ7" s="1659"/>
      <c r="CA7" s="1659"/>
      <c r="CB7" s="1659"/>
      <c r="CC7" s="1659"/>
      <c r="CD7" s="1659"/>
      <c r="CE7" s="1659"/>
      <c r="CF7" s="1659"/>
      <c r="CG7" s="1659"/>
      <c r="CH7" s="1659"/>
      <c r="CI7" s="1659"/>
      <c r="CJ7" s="1659"/>
      <c r="CK7" s="1659"/>
      <c r="CL7" s="1659"/>
      <c r="CM7" s="1659"/>
      <c r="CN7" s="1659"/>
      <c r="CO7" s="1659"/>
      <c r="CP7" s="1659"/>
      <c r="CQ7" s="1659"/>
      <c r="CR7" s="1659"/>
      <c r="CS7" s="1659"/>
      <c r="CT7" s="1659"/>
      <c r="CU7" s="1659"/>
      <c r="CV7" s="1659"/>
      <c r="CW7" s="1659"/>
      <c r="CX7" s="1659"/>
      <c r="CY7" s="1659"/>
      <c r="CZ7" s="1659"/>
      <c r="DA7" s="1659"/>
      <c r="DB7" s="1659"/>
      <c r="DC7" s="1659"/>
      <c r="DD7" s="1659"/>
      <c r="DE7" s="1659"/>
      <c r="DF7" s="1659"/>
      <c r="DG7" s="1659"/>
      <c r="DH7" s="1659"/>
      <c r="DI7" s="1659"/>
      <c r="DJ7" s="1659"/>
      <c r="DK7" s="1659"/>
      <c r="DL7" s="1659"/>
      <c r="DM7" s="1659"/>
      <c r="DN7" s="1659"/>
      <c r="DO7" s="1659"/>
      <c r="DP7" s="1659"/>
      <c r="DQ7" s="1659"/>
      <c r="DR7" s="1659"/>
      <c r="DS7" s="1659"/>
      <c r="DT7" s="1659"/>
      <c r="DU7" s="1659"/>
      <c r="DV7" s="1659"/>
      <c r="DW7" s="1659"/>
      <c r="DX7" s="1659"/>
      <c r="DY7" s="1659"/>
      <c r="DZ7" s="1659"/>
      <c r="EA7" s="1659"/>
      <c r="EB7" s="1659"/>
      <c r="EC7" s="1659"/>
      <c r="ED7" s="1659"/>
      <c r="EE7" s="1659"/>
      <c r="EF7" s="1659"/>
      <c r="EG7" s="1659"/>
      <c r="EH7" s="1659"/>
      <c r="EI7" s="1659"/>
      <c r="EJ7" s="1659"/>
      <c r="EK7" s="1659"/>
      <c r="EL7" s="1659"/>
      <c r="EM7" s="1659"/>
      <c r="EN7" s="1659"/>
      <c r="EO7" s="1659"/>
      <c r="EP7" s="1659"/>
      <c r="EQ7" s="1659"/>
      <c r="ER7" s="1659"/>
      <c r="ES7" s="1659"/>
      <c r="ET7" s="1659"/>
      <c r="EU7" s="1659"/>
      <c r="EV7" s="1659"/>
      <c r="EW7" s="1659"/>
      <c r="EX7" s="1659"/>
      <c r="EY7" s="1659"/>
      <c r="EZ7" s="1659"/>
      <c r="FA7" s="1659"/>
      <c r="FB7" s="1659"/>
      <c r="FC7" s="1659"/>
      <c r="FD7" s="1659"/>
      <c r="FE7" s="1659"/>
      <c r="FF7" s="1659"/>
      <c r="FG7" s="1659"/>
      <c r="FH7" s="1659"/>
      <c r="FI7" s="1659"/>
      <c r="FJ7" s="1659"/>
      <c r="FK7" s="1659"/>
      <c r="FL7" s="1659"/>
      <c r="FM7" s="1659"/>
      <c r="FN7" s="1659"/>
      <c r="FO7" s="1659"/>
      <c r="FP7" s="1659"/>
      <c r="FQ7" s="1659"/>
      <c r="FR7" s="1659"/>
      <c r="FS7" s="1659"/>
      <c r="FT7" s="1659"/>
      <c r="FU7" s="1659"/>
      <c r="FV7" s="1659"/>
      <c r="FW7" s="1659"/>
      <c r="FX7" s="1659"/>
      <c r="FY7" s="1659"/>
      <c r="FZ7" s="1659"/>
      <c r="GA7" s="1659"/>
      <c r="GB7" s="1659"/>
      <c r="GC7" s="1659"/>
      <c r="GD7" s="1659"/>
      <c r="GE7" s="1659"/>
      <c r="GF7" s="1659"/>
      <c r="GG7" s="1659"/>
      <c r="GH7" s="1659"/>
      <c r="GI7" s="1659"/>
      <c r="GJ7" s="1659"/>
      <c r="GK7" s="1659"/>
      <c r="GL7" s="1659"/>
      <c r="GM7" s="1659"/>
      <c r="GN7" s="1659"/>
      <c r="GO7" s="1659"/>
      <c r="GP7" s="1659"/>
      <c r="GQ7" s="1659"/>
      <c r="GR7" s="1659"/>
      <c r="GS7" s="1659"/>
      <c r="GT7" s="1659"/>
      <c r="GU7" s="1659"/>
      <c r="GV7" s="1659"/>
      <c r="GW7" s="1659"/>
      <c r="GX7" s="1659"/>
      <c r="GY7" s="1659"/>
      <c r="GZ7" s="1659"/>
      <c r="HA7" s="1659"/>
      <c r="HB7" s="1659"/>
      <c r="HC7" s="1659"/>
      <c r="HD7" s="1659"/>
      <c r="HE7" s="1659"/>
      <c r="HF7" s="1659"/>
      <c r="HG7" s="1659"/>
      <c r="HH7" s="1659"/>
      <c r="HI7" s="1659"/>
      <c r="HJ7" s="1659"/>
      <c r="HK7" s="1659"/>
      <c r="HL7" s="1659"/>
      <c r="HM7" s="1659"/>
      <c r="HN7" s="1659"/>
      <c r="HO7" s="1659"/>
      <c r="HP7" s="1659"/>
      <c r="HQ7" s="1659"/>
      <c r="HR7" s="1659"/>
      <c r="HS7" s="1659"/>
      <c r="HT7" s="1659"/>
      <c r="HU7" s="1659"/>
      <c r="HV7" s="1659"/>
      <c r="HW7" s="1659"/>
      <c r="HX7" s="1659"/>
      <c r="HY7" s="1659"/>
      <c r="HZ7" s="1659"/>
      <c r="IA7" s="1659"/>
      <c r="IB7" s="1659"/>
      <c r="IC7" s="1659"/>
      <c r="ID7" s="1659"/>
      <c r="IE7" s="1659"/>
      <c r="IF7" s="1659"/>
      <c r="IG7" s="1659"/>
      <c r="IH7" s="1659"/>
      <c r="II7" s="1659"/>
      <c r="IJ7" s="1659"/>
      <c r="IK7" s="1659"/>
      <c r="IL7" s="1659"/>
      <c r="IM7" s="1659"/>
      <c r="IN7" s="1659"/>
      <c r="IO7" s="1659"/>
      <c r="IP7" s="1659"/>
      <c r="IQ7" s="1659"/>
      <c r="IR7" s="1659"/>
      <c r="IS7" s="1659"/>
      <c r="IT7" s="1659"/>
      <c r="IU7" s="1659"/>
      <c r="IV7" s="1659"/>
      <c r="IW7" s="1659"/>
      <c r="IX7" s="1659"/>
      <c r="IY7" s="1659"/>
      <c r="IZ7" s="1659"/>
      <c r="JA7" s="1659"/>
      <c r="JB7" s="1659"/>
      <c r="JC7" s="1659"/>
      <c r="JD7" s="1659"/>
      <c r="JE7" s="1659"/>
      <c r="JF7" s="1659"/>
      <c r="JG7" s="1659"/>
      <c r="JH7" s="1659"/>
      <c r="JI7" s="1659"/>
      <c r="JJ7" s="1659"/>
      <c r="JK7" s="1659"/>
      <c r="JL7" s="1659"/>
      <c r="JM7" s="1659"/>
      <c r="JN7" s="1659"/>
      <c r="JO7" s="1659"/>
      <c r="JP7" s="1659"/>
      <c r="JQ7" s="1659"/>
      <c r="JR7" s="1659"/>
      <c r="JS7" s="1659"/>
      <c r="JT7" s="1659"/>
      <c r="JU7" s="1659"/>
      <c r="JV7" s="1659"/>
      <c r="JW7" s="1659"/>
      <c r="JX7" s="1659"/>
      <c r="JY7" s="1659"/>
      <c r="JZ7" s="1659"/>
      <c r="KA7" s="1659"/>
      <c r="KB7" s="1659"/>
      <c r="KC7" s="1659"/>
      <c r="KD7" s="1659"/>
      <c r="KE7" s="1659"/>
      <c r="KF7" s="1659"/>
      <c r="KG7" s="1659"/>
      <c r="KH7" s="1659"/>
      <c r="KI7" s="1659"/>
      <c r="KJ7" s="1659"/>
      <c r="KK7" s="1659"/>
      <c r="KL7" s="1659"/>
      <c r="KM7" s="1659"/>
      <c r="KN7" s="1659"/>
      <c r="KO7" s="1659"/>
      <c r="KP7" s="1659"/>
      <c r="KQ7" s="1659"/>
      <c r="KR7" s="1659"/>
      <c r="KS7" s="1659"/>
      <c r="KT7" s="1659"/>
      <c r="KU7" s="1659"/>
      <c r="KV7" s="1659"/>
      <c r="KW7" s="1659"/>
      <c r="KX7" s="1659"/>
      <c r="KY7" s="1659"/>
      <c r="KZ7" s="1659"/>
      <c r="LA7" s="1659"/>
      <c r="LB7" s="1659"/>
      <c r="LC7" s="1659"/>
      <c r="LD7" s="1659"/>
      <c r="LE7" s="1659"/>
      <c r="LF7" s="1659"/>
      <c r="LG7" s="1659"/>
      <c r="LH7" s="1659"/>
      <c r="LI7" s="1659"/>
      <c r="LJ7" s="1659"/>
      <c r="LK7" s="1659"/>
      <c r="LL7" s="1659"/>
      <c r="LM7" s="1659"/>
      <c r="LN7" s="1659"/>
      <c r="LO7" s="1659"/>
      <c r="LP7" s="1659"/>
      <c r="LQ7" s="1659"/>
      <c r="LR7" s="1659"/>
      <c r="LS7" s="1659"/>
      <c r="LT7" s="1659"/>
      <c r="LU7" s="1659"/>
      <c r="LV7" s="1659"/>
      <c r="LW7" s="1659"/>
      <c r="LX7" s="1659"/>
      <c r="LY7" s="1659"/>
      <c r="LZ7" s="1659"/>
      <c r="MA7" s="1659"/>
      <c r="MB7" s="1659"/>
      <c r="MC7" s="1659"/>
      <c r="MD7" s="1659"/>
      <c r="ME7" s="1659"/>
      <c r="MF7" s="1659"/>
      <c r="MG7" s="1659"/>
      <c r="MH7" s="1659"/>
      <c r="MI7" s="1659"/>
      <c r="MJ7" s="1659"/>
      <c r="MK7" s="1659"/>
      <c r="ML7" s="1659"/>
      <c r="MM7" s="1659"/>
      <c r="MN7" s="1659"/>
      <c r="MO7" s="1659"/>
      <c r="MP7" s="1659"/>
      <c r="MQ7" s="1659"/>
      <c r="MR7" s="1659"/>
      <c r="MS7" s="1659"/>
      <c r="MT7" s="1659"/>
      <c r="MU7" s="1659"/>
      <c r="MV7" s="1659"/>
      <c r="MW7" s="1659"/>
      <c r="MX7" s="1659"/>
      <c r="MY7" s="1659"/>
      <c r="MZ7" s="1659"/>
      <c r="NA7" s="1659"/>
      <c r="NB7" s="1659"/>
      <c r="NC7" s="1659"/>
      <c r="ND7" s="1659"/>
      <c r="NE7" s="1659"/>
      <c r="NF7" s="1659"/>
      <c r="NG7" s="1659"/>
      <c r="NH7" s="1659"/>
      <c r="NI7" s="1659"/>
      <c r="NJ7" s="1659"/>
      <c r="NK7" s="1659"/>
      <c r="NL7" s="1659"/>
      <c r="NM7" s="1659"/>
      <c r="NN7" s="1659"/>
      <c r="NO7" s="1659"/>
      <c r="NP7" s="1659"/>
      <c r="NQ7" s="1659"/>
      <c r="NR7" s="1659"/>
      <c r="NS7" s="1659"/>
      <c r="NT7" s="1659"/>
      <c r="NU7" s="1659"/>
      <c r="NV7" s="1659"/>
      <c r="NW7" s="1659"/>
      <c r="NX7" s="1659"/>
      <c r="NY7" s="1659"/>
      <c r="NZ7" s="1659"/>
      <c r="OA7" s="1659"/>
      <c r="OB7" s="1659"/>
      <c r="OC7" s="1659"/>
      <c r="OD7" s="1659"/>
      <c r="OE7" s="1659"/>
      <c r="OF7" s="1659"/>
      <c r="OG7" s="1659"/>
      <c r="OH7" s="1659"/>
      <c r="OI7" s="1659"/>
      <c r="OJ7" s="1659"/>
      <c r="OK7" s="1659"/>
      <c r="OL7" s="1659"/>
      <c r="OM7" s="1659"/>
      <c r="ON7" s="1659"/>
      <c r="OO7" s="1659"/>
      <c r="OP7" s="1659"/>
      <c r="OQ7" s="1659"/>
      <c r="OR7" s="1659"/>
      <c r="OS7" s="1659"/>
      <c r="OT7" s="1659"/>
      <c r="OU7" s="1659"/>
      <c r="OV7" s="1659"/>
      <c r="OW7" s="1659"/>
      <c r="OX7" s="1659"/>
      <c r="OY7" s="1659"/>
      <c r="OZ7" s="1659"/>
      <c r="PA7" s="1659"/>
      <c r="PB7" s="1659"/>
      <c r="PC7" s="1659"/>
      <c r="PD7" s="1659"/>
      <c r="PE7" s="1659"/>
      <c r="PF7" s="1659"/>
      <c r="PG7" s="1659"/>
      <c r="PH7" s="1659"/>
      <c r="PI7" s="1659"/>
      <c r="PJ7" s="1659"/>
      <c r="PK7" s="1659"/>
      <c r="PL7" s="1659"/>
      <c r="PM7" s="1659"/>
      <c r="PN7" s="1659"/>
      <c r="PO7" s="1659"/>
      <c r="PP7" s="1659"/>
      <c r="PQ7" s="1659"/>
      <c r="PR7" s="1659"/>
      <c r="PS7" s="1659"/>
      <c r="PT7" s="1659"/>
      <c r="PU7" s="1659"/>
      <c r="PV7" s="1659"/>
      <c r="PW7" s="1659"/>
      <c r="PX7" s="1659"/>
      <c r="PY7" s="1659"/>
      <c r="PZ7" s="1659"/>
      <c r="QA7" s="1659"/>
      <c r="QB7" s="1659"/>
      <c r="QC7" s="1659"/>
      <c r="QD7" s="1659"/>
      <c r="QE7" s="1659"/>
      <c r="QF7" s="1659"/>
      <c r="QG7" s="1659"/>
      <c r="QH7" s="1659"/>
      <c r="QI7" s="1659"/>
      <c r="QJ7" s="1659"/>
      <c r="QK7" s="1659"/>
      <c r="QL7" s="1659"/>
      <c r="QM7" s="1659"/>
      <c r="QN7" s="1659"/>
      <c r="QO7" s="1659"/>
      <c r="QP7" s="1659"/>
      <c r="QQ7" s="1659"/>
      <c r="QR7" s="1659"/>
      <c r="QS7" s="1659"/>
      <c r="QT7" s="1659"/>
      <c r="QU7" s="1659"/>
      <c r="QV7" s="1659"/>
      <c r="QW7" s="1659"/>
      <c r="QX7" s="1659"/>
      <c r="QY7" s="1659"/>
      <c r="QZ7" s="1660"/>
      <c r="RA7" s="1673" t="s">
        <v>382</v>
      </c>
      <c r="RB7" s="1674"/>
      <c r="RC7" s="1674"/>
      <c r="RD7" s="1674"/>
      <c r="RE7" s="1674"/>
      <c r="RF7" s="1674"/>
      <c r="RG7" s="1674"/>
      <c r="RH7" s="1674"/>
      <c r="RI7" s="1674"/>
      <c r="RJ7" s="1674"/>
      <c r="RK7" s="1674"/>
      <c r="RL7" s="1674"/>
      <c r="RM7" s="1674"/>
      <c r="RN7" s="1674"/>
      <c r="RO7" s="1674"/>
      <c r="RP7" s="1674"/>
      <c r="RQ7" s="1674"/>
      <c r="RR7" s="1674"/>
      <c r="RS7" s="1674"/>
      <c r="RT7" s="1674"/>
      <c r="RU7" s="1674"/>
      <c r="RV7" s="1674"/>
      <c r="RW7" s="1674"/>
      <c r="RX7" s="1674"/>
      <c r="RY7" s="1674"/>
      <c r="RZ7" s="1674"/>
      <c r="SA7" s="1674"/>
      <c r="SB7" s="1674"/>
      <c r="SC7" s="1674"/>
      <c r="SD7" s="1674"/>
      <c r="SE7" s="1674"/>
      <c r="SF7" s="1674"/>
      <c r="SG7" s="1759" t="s">
        <v>383</v>
      </c>
      <c r="SH7" s="1760"/>
      <c r="SI7" s="1760"/>
      <c r="SJ7" s="1760"/>
      <c r="SK7" s="1760"/>
      <c r="SL7" s="1760"/>
      <c r="SM7" s="1760"/>
      <c r="SN7" s="1760"/>
      <c r="SO7" s="1760"/>
      <c r="SP7" s="1760"/>
      <c r="SQ7" s="1760"/>
      <c r="SR7" s="1760"/>
      <c r="SS7" s="1760"/>
      <c r="ST7" s="1760"/>
      <c r="SU7" s="1760"/>
      <c r="SV7" s="1760"/>
      <c r="SW7" s="1760"/>
      <c r="SX7" s="1760"/>
      <c r="SY7" s="1760"/>
      <c r="SZ7" s="1760"/>
      <c r="TA7" s="1760"/>
      <c r="TB7" s="1760"/>
      <c r="TC7" s="1760"/>
      <c r="TD7" s="1760"/>
      <c r="TE7" s="1760"/>
      <c r="TF7" s="1760"/>
      <c r="TG7" s="1760"/>
      <c r="TH7" s="1760"/>
      <c r="TI7" s="1760"/>
      <c r="TJ7" s="1760"/>
      <c r="TK7" s="1760"/>
      <c r="TL7" s="1760"/>
      <c r="TM7" s="1760"/>
      <c r="TN7" s="1760"/>
      <c r="TO7" s="1760"/>
      <c r="TP7" s="1760"/>
      <c r="TQ7" s="1760"/>
      <c r="TR7" s="1760"/>
      <c r="TS7" s="1760"/>
      <c r="TT7" s="1760"/>
      <c r="TU7" s="1760"/>
      <c r="TV7" s="1760"/>
      <c r="TW7" s="1760"/>
      <c r="TX7" s="1760"/>
      <c r="TY7" s="1760"/>
      <c r="TZ7" s="1760"/>
      <c r="UA7" s="1760"/>
      <c r="UB7" s="1760"/>
      <c r="UC7" s="1760"/>
      <c r="UD7" s="1760"/>
      <c r="UE7" s="1760"/>
      <c r="UF7" s="1760"/>
      <c r="UG7" s="1760"/>
      <c r="UH7" s="1760"/>
      <c r="UI7" s="1760"/>
      <c r="UJ7" s="1760"/>
      <c r="UK7" s="1760"/>
      <c r="UL7" s="1760"/>
      <c r="UM7" s="1760"/>
      <c r="UN7" s="1760"/>
      <c r="UO7" s="1760"/>
      <c r="UP7" s="1760"/>
      <c r="UQ7" s="1760"/>
      <c r="UR7" s="1760"/>
      <c r="US7" s="1760"/>
      <c r="UT7" s="1760"/>
      <c r="UU7" s="1760"/>
      <c r="UV7" s="1760"/>
      <c r="UW7" s="1760"/>
      <c r="UX7" s="1760"/>
      <c r="UY7" s="1760"/>
      <c r="UZ7" s="1760"/>
      <c r="VA7" s="1760"/>
      <c r="VB7" s="1760"/>
      <c r="VC7" s="1760"/>
      <c r="VD7" s="1760"/>
      <c r="VE7" s="1760"/>
      <c r="VF7" s="1760"/>
      <c r="VG7" s="1760"/>
      <c r="VH7" s="1760"/>
      <c r="VI7" s="1760"/>
      <c r="VJ7" s="1760"/>
      <c r="VK7" s="1760"/>
      <c r="VL7" s="1760"/>
      <c r="VM7" s="1760"/>
      <c r="VN7" s="1760"/>
      <c r="VO7" s="1760"/>
      <c r="VP7" s="1760"/>
      <c r="VQ7" s="1760"/>
      <c r="VR7" s="1760"/>
      <c r="VS7" s="1760"/>
      <c r="VT7" s="1309"/>
      <c r="VU7" s="1723" t="s">
        <v>16</v>
      </c>
      <c r="VV7" s="1723" t="s">
        <v>17</v>
      </c>
      <c r="VW7" s="1746" t="s">
        <v>153</v>
      </c>
      <c r="VX7" s="1747"/>
      <c r="VY7" s="1747"/>
      <c r="VZ7" s="1747"/>
      <c r="WA7" s="1747"/>
      <c r="WB7" s="1747"/>
      <c r="WC7" s="1747"/>
      <c r="WD7" s="1748"/>
      <c r="WE7" s="1740" t="s">
        <v>154</v>
      </c>
      <c r="WF7" s="1741"/>
      <c r="WG7" s="1741"/>
      <c r="WH7" s="1741"/>
      <c r="WI7" s="1741"/>
      <c r="WJ7" s="1741"/>
      <c r="WK7" s="1741"/>
      <c r="WL7" s="1742"/>
      <c r="WO7" s="72"/>
    </row>
    <row r="8" spans="1:613" ht="177" customHeight="1" thickBot="1" x14ac:dyDescent="0.3">
      <c r="A8" s="1724"/>
      <c r="B8" s="1673"/>
      <c r="C8" s="1679"/>
      <c r="D8" s="1723" t="s">
        <v>16</v>
      </c>
      <c r="E8" s="1723" t="s">
        <v>17</v>
      </c>
      <c r="F8" s="1691" t="s">
        <v>405</v>
      </c>
      <c r="G8" s="1692"/>
      <c r="H8" s="1692"/>
      <c r="I8" s="1692"/>
      <c r="J8" s="1692"/>
      <c r="K8" s="1692"/>
      <c r="L8" s="1692"/>
      <c r="M8" s="1733"/>
      <c r="N8" s="1713" t="s">
        <v>239</v>
      </c>
      <c r="O8" s="1728"/>
      <c r="P8" s="1728"/>
      <c r="Q8" s="1728"/>
      <c r="R8" s="1728"/>
      <c r="S8" s="1728"/>
      <c r="T8" s="1728"/>
      <c r="U8" s="1728"/>
      <c r="V8" s="1713" t="s">
        <v>638</v>
      </c>
      <c r="W8" s="1728"/>
      <c r="X8" s="1728"/>
      <c r="Y8" s="1728"/>
      <c r="Z8" s="1728"/>
      <c r="AA8" s="1728"/>
      <c r="AB8" s="1728"/>
      <c r="AC8" s="1728"/>
      <c r="AD8" s="1728"/>
      <c r="AE8" s="1728"/>
      <c r="AF8" s="1728"/>
      <c r="AG8" s="1728"/>
      <c r="AH8" s="1729"/>
      <c r="AI8" s="1724" t="s">
        <v>16</v>
      </c>
      <c r="AJ8" s="1724" t="s">
        <v>17</v>
      </c>
      <c r="AK8" s="1658" t="s">
        <v>529</v>
      </c>
      <c r="AL8" s="1659"/>
      <c r="AM8" s="1659"/>
      <c r="AN8" s="1659"/>
      <c r="AO8" s="1659"/>
      <c r="AP8" s="1659"/>
      <c r="AQ8" s="1659"/>
      <c r="AR8" s="1659"/>
      <c r="AS8" s="1659"/>
      <c r="AT8" s="1659"/>
      <c r="AU8" s="1659"/>
      <c r="AV8" s="1659"/>
      <c r="AW8" s="1659"/>
      <c r="AX8" s="1659"/>
      <c r="AY8" s="1659"/>
      <c r="AZ8" s="1659"/>
      <c r="BA8" s="1659"/>
      <c r="BB8" s="1659"/>
      <c r="BC8" s="1659"/>
      <c r="BD8" s="1659"/>
      <c r="BE8" s="1659"/>
      <c r="BF8" s="1659"/>
      <c r="BG8" s="1659"/>
      <c r="BH8" s="1659"/>
      <c r="BI8" s="1659"/>
      <c r="BJ8" s="1659"/>
      <c r="BK8" s="1659"/>
      <c r="BL8" s="1659"/>
      <c r="BM8" s="1659"/>
      <c r="BN8" s="1659"/>
      <c r="BO8" s="1659"/>
      <c r="BP8" s="1659"/>
      <c r="BQ8" s="1659"/>
      <c r="BR8" s="1659"/>
      <c r="BS8" s="1658" t="s">
        <v>400</v>
      </c>
      <c r="BT8" s="1659"/>
      <c r="BU8" s="1659"/>
      <c r="BV8" s="1659"/>
      <c r="BW8" s="1659"/>
      <c r="BX8" s="1659"/>
      <c r="BY8" s="1659"/>
      <c r="BZ8" s="1659"/>
      <c r="CA8" s="1659"/>
      <c r="CB8" s="1659"/>
      <c r="CC8" s="1659"/>
      <c r="CD8" s="1659"/>
      <c r="CE8" s="1659"/>
      <c r="CF8" s="1659"/>
      <c r="CG8" s="1659"/>
      <c r="CH8" s="1659"/>
      <c r="CI8" s="1659"/>
      <c r="CJ8" s="1659"/>
      <c r="CK8" s="1659"/>
      <c r="CL8" s="1660"/>
      <c r="CM8" s="1658" t="s">
        <v>822</v>
      </c>
      <c r="CN8" s="1659"/>
      <c r="CO8" s="1659"/>
      <c r="CP8" s="1660"/>
      <c r="CQ8" s="1673" t="s">
        <v>272</v>
      </c>
      <c r="CR8" s="1674"/>
      <c r="CS8" s="1674"/>
      <c r="CT8" s="1674"/>
      <c r="CU8" s="1674"/>
      <c r="CV8" s="1674"/>
      <c r="CW8" s="1674"/>
      <c r="CX8" s="1674"/>
      <c r="CY8" s="1658" t="s">
        <v>395</v>
      </c>
      <c r="CZ8" s="1659"/>
      <c r="DA8" s="1659"/>
      <c r="DB8" s="1659"/>
      <c r="DC8" s="1659"/>
      <c r="DD8" s="1659"/>
      <c r="DE8" s="1659"/>
      <c r="DF8" s="1660"/>
      <c r="DG8" s="1658" t="s">
        <v>576</v>
      </c>
      <c r="DH8" s="1659"/>
      <c r="DI8" s="1659"/>
      <c r="DJ8" s="1659"/>
      <c r="DK8" s="1659"/>
      <c r="DL8" s="1660"/>
      <c r="DM8" s="1658" t="s">
        <v>684</v>
      </c>
      <c r="DN8" s="1659"/>
      <c r="DO8" s="1659"/>
      <c r="DP8" s="1659"/>
      <c r="DQ8" s="1659"/>
      <c r="DR8" s="1659"/>
      <c r="DS8" s="1659"/>
      <c r="DT8" s="1659"/>
      <c r="DU8" s="1659"/>
      <c r="DV8" s="1659"/>
      <c r="DW8" s="1659"/>
      <c r="DX8" s="1659"/>
      <c r="DY8" s="1659"/>
      <c r="DZ8" s="1659"/>
      <c r="EA8" s="1659"/>
      <c r="EB8" s="1660"/>
      <c r="EC8" s="1658" t="s">
        <v>603</v>
      </c>
      <c r="ED8" s="1659"/>
      <c r="EE8" s="1659"/>
      <c r="EF8" s="1659"/>
      <c r="EG8" s="1659"/>
      <c r="EH8" s="1660"/>
      <c r="EI8" s="1703" t="s">
        <v>450</v>
      </c>
      <c r="EJ8" s="1704"/>
      <c r="EK8" s="1704"/>
      <c r="EL8" s="1704"/>
      <c r="EM8" s="1704"/>
      <c r="EN8" s="1704"/>
      <c r="EO8" s="1704"/>
      <c r="EP8" s="1704"/>
      <c r="EQ8" s="1704"/>
      <c r="ER8" s="1705"/>
      <c r="ES8" s="1658" t="s">
        <v>481</v>
      </c>
      <c r="ET8" s="1659"/>
      <c r="EU8" s="1659"/>
      <c r="EV8" s="1659"/>
      <c r="EW8" s="1659"/>
      <c r="EX8" s="1660"/>
      <c r="EY8" s="1658" t="s">
        <v>604</v>
      </c>
      <c r="EZ8" s="1659"/>
      <c r="FA8" s="1659"/>
      <c r="FB8" s="1659"/>
      <c r="FC8" s="1659"/>
      <c r="FD8" s="1660"/>
      <c r="FE8" s="1658" t="s">
        <v>605</v>
      </c>
      <c r="FF8" s="1659"/>
      <c r="FG8" s="1659"/>
      <c r="FH8" s="1659"/>
      <c r="FI8" s="1659"/>
      <c r="FJ8" s="1660"/>
      <c r="FK8" s="1658" t="s">
        <v>779</v>
      </c>
      <c r="FL8" s="1659"/>
      <c r="FM8" s="1659"/>
      <c r="FN8" s="1659"/>
      <c r="FO8" s="1659"/>
      <c r="FP8" s="1659"/>
      <c r="FQ8" s="1659"/>
      <c r="FR8" s="1659"/>
      <c r="FS8" s="1659"/>
      <c r="FT8" s="1659"/>
      <c r="FU8" s="1659"/>
      <c r="FV8" s="1659"/>
      <c r="FW8" s="1659"/>
      <c r="FX8" s="1659"/>
      <c r="FY8" s="1659"/>
      <c r="FZ8" s="1660"/>
      <c r="GA8" s="1658" t="s">
        <v>785</v>
      </c>
      <c r="GB8" s="1659"/>
      <c r="GC8" s="1659"/>
      <c r="GD8" s="1659"/>
      <c r="GE8" s="1659"/>
      <c r="GF8" s="1660"/>
      <c r="GG8" s="1658" t="s">
        <v>723</v>
      </c>
      <c r="GH8" s="1659"/>
      <c r="GI8" s="1659"/>
      <c r="GJ8" s="1659"/>
      <c r="GK8" s="1659"/>
      <c r="GL8" s="1659"/>
      <c r="GM8" s="1659"/>
      <c r="GN8" s="1659"/>
      <c r="GO8" s="1659"/>
      <c r="GP8" s="1659"/>
      <c r="GQ8" s="1659"/>
      <c r="GR8" s="1659"/>
      <c r="GS8" s="1659"/>
      <c r="GT8" s="1659"/>
      <c r="GU8" s="1659"/>
      <c r="GV8" s="1659"/>
      <c r="GW8" s="1659"/>
      <c r="GX8" s="1659"/>
      <c r="GY8" s="1659"/>
      <c r="GZ8" s="1659"/>
      <c r="HA8" s="1659"/>
      <c r="HB8" s="1659"/>
      <c r="HC8" s="1659"/>
      <c r="HD8" s="1659"/>
      <c r="HE8" s="1659"/>
      <c r="HF8" s="1659"/>
      <c r="HG8" s="1659"/>
      <c r="HH8" s="1659"/>
      <c r="HI8" s="1659"/>
      <c r="HJ8" s="1659"/>
      <c r="HK8" s="1659"/>
      <c r="HL8" s="1659"/>
      <c r="HM8" s="1659"/>
      <c r="HN8" s="1659"/>
      <c r="HO8" s="1659"/>
      <c r="HP8" s="1659"/>
      <c r="HQ8" s="1659"/>
      <c r="HR8" s="1659"/>
      <c r="HS8" s="1659"/>
      <c r="HT8" s="1660"/>
      <c r="HU8" s="1658" t="s">
        <v>853</v>
      </c>
      <c r="HV8" s="1659"/>
      <c r="HW8" s="1659"/>
      <c r="HX8" s="1659"/>
      <c r="HY8" s="1659"/>
      <c r="HZ8" s="1660"/>
      <c r="IA8" s="1658" t="s">
        <v>901</v>
      </c>
      <c r="IB8" s="1659"/>
      <c r="IC8" s="1659"/>
      <c r="ID8" s="1659"/>
      <c r="IE8" s="1659"/>
      <c r="IF8" s="1660"/>
      <c r="IG8" s="1658" t="s">
        <v>392</v>
      </c>
      <c r="IH8" s="1659"/>
      <c r="II8" s="1659"/>
      <c r="IJ8" s="1659"/>
      <c r="IK8" s="1659"/>
      <c r="IL8" s="1659"/>
      <c r="IM8" s="1658" t="s">
        <v>676</v>
      </c>
      <c r="IN8" s="1659"/>
      <c r="IO8" s="1659"/>
      <c r="IP8" s="1659"/>
      <c r="IQ8" s="1659"/>
      <c r="IR8" s="1659"/>
      <c r="IS8" s="1659"/>
      <c r="IT8" s="1659"/>
      <c r="IU8" s="1659"/>
      <c r="IV8" s="1659"/>
      <c r="IW8" s="1659"/>
      <c r="IX8" s="1659"/>
      <c r="IY8" s="1659"/>
      <c r="IZ8" s="1659"/>
      <c r="JA8" s="1659"/>
      <c r="JB8" s="1659"/>
      <c r="JC8" s="1659"/>
      <c r="JD8" s="1659"/>
      <c r="JE8" s="1659"/>
      <c r="JF8" s="1659"/>
      <c r="JG8" s="1659"/>
      <c r="JH8" s="1659"/>
      <c r="JI8" s="1659"/>
      <c r="JJ8" s="1660"/>
      <c r="JK8" s="1658" t="s">
        <v>552</v>
      </c>
      <c r="JL8" s="1659"/>
      <c r="JM8" s="1659"/>
      <c r="JN8" s="1659"/>
      <c r="JO8" s="1659"/>
      <c r="JP8" s="1659"/>
      <c r="JQ8" s="1658" t="s">
        <v>387</v>
      </c>
      <c r="JR8" s="1659"/>
      <c r="JS8" s="1659"/>
      <c r="JT8" s="1659"/>
      <c r="JU8" s="1659"/>
      <c r="JV8" s="1659"/>
      <c r="JW8" s="1659"/>
      <c r="JX8" s="1659"/>
      <c r="JY8" s="1659"/>
      <c r="JZ8" s="1659"/>
      <c r="KA8" s="1659"/>
      <c r="KB8" s="1659"/>
      <c r="KC8" s="1659"/>
      <c r="KD8" s="1659"/>
      <c r="KE8" s="1659"/>
      <c r="KF8" s="1659"/>
      <c r="KG8" s="1659"/>
      <c r="KH8" s="1659"/>
      <c r="KI8" s="1659"/>
      <c r="KJ8" s="1659"/>
      <c r="KK8" s="1659"/>
      <c r="KL8" s="1659"/>
      <c r="KM8" s="1659"/>
      <c r="KN8" s="1659"/>
      <c r="KO8" s="1659"/>
      <c r="KP8" s="1659"/>
      <c r="KQ8" s="1659"/>
      <c r="KR8" s="1659"/>
      <c r="KS8" s="1659"/>
      <c r="KT8" s="1659"/>
      <c r="KU8" s="1659"/>
      <c r="KV8" s="1659"/>
      <c r="KW8" s="1659"/>
      <c r="KX8" s="1659"/>
      <c r="KY8" s="1659"/>
      <c r="KZ8" s="1659"/>
      <c r="LA8" s="1659"/>
      <c r="LB8" s="1659"/>
      <c r="LC8" s="1659"/>
      <c r="LD8" s="1659"/>
      <c r="LE8" s="1658" t="s">
        <v>384</v>
      </c>
      <c r="LF8" s="1659"/>
      <c r="LG8" s="1659"/>
      <c r="LH8" s="1659"/>
      <c r="LI8" s="1659"/>
      <c r="LJ8" s="1659"/>
      <c r="LK8" s="1659"/>
      <c r="LL8" s="1659"/>
      <c r="LM8" s="1659"/>
      <c r="LN8" s="1659"/>
      <c r="LO8" s="1659"/>
      <c r="LP8" s="1660"/>
      <c r="LQ8" s="1658" t="s">
        <v>663</v>
      </c>
      <c r="LR8" s="1659"/>
      <c r="LS8" s="1659"/>
      <c r="LT8" s="1659"/>
      <c r="LU8" s="1659"/>
      <c r="LV8" s="1659"/>
      <c r="LW8" s="1659"/>
      <c r="LX8" s="1659"/>
      <c r="LY8" s="1659"/>
      <c r="LZ8" s="1659"/>
      <c r="MA8" s="1659"/>
      <c r="MB8" s="1659"/>
      <c r="MC8" s="1659"/>
      <c r="MD8" s="1659"/>
      <c r="ME8" s="1659"/>
      <c r="MF8" s="1659"/>
      <c r="MG8" s="1659"/>
      <c r="MH8" s="1659"/>
      <c r="MI8" s="1659"/>
      <c r="MJ8" s="1659"/>
      <c r="MK8" s="1659"/>
      <c r="ML8" s="1660"/>
      <c r="MM8" s="1658" t="s">
        <v>657</v>
      </c>
      <c r="MN8" s="1659"/>
      <c r="MO8" s="1659"/>
      <c r="MP8" s="1659"/>
      <c r="MQ8" s="1659"/>
      <c r="MR8" s="1659"/>
      <c r="MS8" s="1659"/>
      <c r="MT8" s="1659"/>
      <c r="MU8" s="1659"/>
      <c r="MV8" s="1659"/>
      <c r="MW8" s="1659"/>
      <c r="MX8" s="1659"/>
      <c r="MY8" s="1659"/>
      <c r="MZ8" s="1659"/>
      <c r="NA8" s="1659"/>
      <c r="NB8" s="1659"/>
      <c r="NC8" s="1659"/>
      <c r="ND8" s="1659"/>
      <c r="NE8" s="1659"/>
      <c r="NF8" s="1659"/>
      <c r="NG8" s="1659"/>
      <c r="NH8" s="1659"/>
      <c r="NI8" s="1659"/>
      <c r="NJ8" s="1659"/>
      <c r="NK8" s="1659"/>
      <c r="NL8" s="1659"/>
      <c r="NM8" s="1659"/>
      <c r="NN8" s="1659"/>
      <c r="NO8" s="1659"/>
      <c r="NP8" s="1659"/>
      <c r="NQ8" s="1659"/>
      <c r="NR8" s="1660"/>
      <c r="NS8" s="1658" t="s">
        <v>631</v>
      </c>
      <c r="NT8" s="1659"/>
      <c r="NU8" s="1659"/>
      <c r="NV8" s="1659"/>
      <c r="NW8" s="1659"/>
      <c r="NX8" s="1659"/>
      <c r="NY8" s="1659"/>
      <c r="NZ8" s="1659"/>
      <c r="OA8" s="1659"/>
      <c r="OB8" s="1659"/>
      <c r="OC8" s="1659"/>
      <c r="OD8" s="1659"/>
      <c r="OE8" s="1659"/>
      <c r="OF8" s="1659"/>
      <c r="OG8" s="1659"/>
      <c r="OH8" s="1659"/>
      <c r="OI8" s="1659"/>
      <c r="OJ8" s="1659"/>
      <c r="OK8" s="1659"/>
      <c r="OL8" s="1659"/>
      <c r="OM8" s="1659"/>
      <c r="ON8" s="1659"/>
      <c r="OO8" s="1659"/>
      <c r="OP8" s="1659"/>
      <c r="OQ8" s="1659"/>
      <c r="OR8" s="1659"/>
      <c r="OS8" s="1659"/>
      <c r="OT8" s="1659"/>
      <c r="OU8" s="1659"/>
      <c r="OV8" s="1659"/>
      <c r="OW8" s="1659"/>
      <c r="OX8" s="1659"/>
      <c r="OY8" s="1659"/>
      <c r="OZ8" s="1659"/>
      <c r="PA8" s="1659"/>
      <c r="PB8" s="1659"/>
      <c r="PC8" s="1659"/>
      <c r="PD8" s="1659"/>
      <c r="PE8" s="1659"/>
      <c r="PF8" s="1659"/>
      <c r="PG8" s="1659"/>
      <c r="PH8" s="1659"/>
      <c r="PI8" s="1659"/>
      <c r="PJ8" s="1659"/>
      <c r="PK8" s="1659"/>
      <c r="PL8" s="1659"/>
      <c r="PM8" s="1659"/>
      <c r="PN8" s="1660"/>
      <c r="PO8" s="1658" t="s">
        <v>602</v>
      </c>
      <c r="PP8" s="1659"/>
      <c r="PQ8" s="1659"/>
      <c r="PR8" s="1659"/>
      <c r="PS8" s="1659"/>
      <c r="PT8" s="1660"/>
      <c r="PU8" s="1658" t="s">
        <v>628</v>
      </c>
      <c r="PV8" s="1659"/>
      <c r="PW8" s="1659"/>
      <c r="PX8" s="1659"/>
      <c r="PY8" s="1659"/>
      <c r="PZ8" s="1659"/>
      <c r="QA8" s="1659"/>
      <c r="QB8" s="1659"/>
      <c r="QC8" s="1659"/>
      <c r="QD8" s="1659"/>
      <c r="QE8" s="1659"/>
      <c r="QF8" s="1659"/>
      <c r="QG8" s="1659"/>
      <c r="QH8" s="1659"/>
      <c r="QI8" s="1659"/>
      <c r="QJ8" s="1659"/>
      <c r="QK8" s="1659"/>
      <c r="QL8" s="1659"/>
      <c r="QM8" s="1659"/>
      <c r="QN8" s="1659"/>
      <c r="QO8" s="1659"/>
      <c r="QP8" s="1659"/>
      <c r="QQ8" s="1659"/>
      <c r="QR8" s="1659"/>
      <c r="QS8" s="1658" t="s">
        <v>377</v>
      </c>
      <c r="QT8" s="1659"/>
      <c r="QU8" s="1659"/>
      <c r="QV8" s="1659"/>
      <c r="QW8" s="1659"/>
      <c r="QX8" s="1659"/>
      <c r="QY8" s="1659"/>
      <c r="QZ8" s="1660"/>
      <c r="RA8" s="1724" t="s">
        <v>16</v>
      </c>
      <c r="RB8" s="1749" t="s">
        <v>56</v>
      </c>
      <c r="RC8" s="1749" t="s">
        <v>57</v>
      </c>
      <c r="RD8" s="1723" t="s">
        <v>17</v>
      </c>
      <c r="RE8" s="1749" t="s">
        <v>56</v>
      </c>
      <c r="RF8" s="1749" t="s">
        <v>57</v>
      </c>
      <c r="RG8" s="1673" t="s">
        <v>374</v>
      </c>
      <c r="RH8" s="1693"/>
      <c r="RI8" s="1673" t="s">
        <v>371</v>
      </c>
      <c r="RJ8" s="1693"/>
      <c r="RK8" s="1659" t="s">
        <v>368</v>
      </c>
      <c r="RL8" s="1660"/>
      <c r="RM8" s="1673" t="s">
        <v>366</v>
      </c>
      <c r="RN8" s="1696"/>
      <c r="RO8" s="1673" t="s">
        <v>363</v>
      </c>
      <c r="RP8" s="1679"/>
      <c r="RQ8" s="1673" t="s">
        <v>360</v>
      </c>
      <c r="RR8" s="1674"/>
      <c r="RS8" s="1658" t="s">
        <v>357</v>
      </c>
      <c r="RT8" s="1660"/>
      <c r="RU8" s="1658" t="s">
        <v>354</v>
      </c>
      <c r="RV8" s="1660"/>
      <c r="RW8" s="1658" t="s">
        <v>565</v>
      </c>
      <c r="RX8" s="1660"/>
      <c r="RY8" s="1691" t="s">
        <v>351</v>
      </c>
      <c r="RZ8" s="1692"/>
      <c r="SA8" s="1692"/>
      <c r="SB8" s="1692"/>
      <c r="SC8" s="1692"/>
      <c r="SD8" s="1692"/>
      <c r="SE8" s="1692"/>
      <c r="SF8" s="1692"/>
      <c r="SG8" s="1671" t="s">
        <v>16</v>
      </c>
      <c r="SH8" s="1723" t="s">
        <v>17</v>
      </c>
      <c r="SI8" s="1658" t="s">
        <v>861</v>
      </c>
      <c r="SJ8" s="1659"/>
      <c r="SK8" s="1659"/>
      <c r="SL8" s="1659"/>
      <c r="SM8" s="1659"/>
      <c r="SN8" s="1660"/>
      <c r="SO8" s="1658" t="s">
        <v>740</v>
      </c>
      <c r="SP8" s="1659"/>
      <c r="SQ8" s="1659"/>
      <c r="SR8" s="1659"/>
      <c r="SS8" s="1659"/>
      <c r="ST8" s="1659"/>
      <c r="SU8" s="1659"/>
      <c r="SV8" s="1659"/>
      <c r="SW8" s="1659"/>
      <c r="SX8" s="1659"/>
      <c r="SY8" s="1659"/>
      <c r="SZ8" s="1660"/>
      <c r="TA8" s="1658" t="s">
        <v>541</v>
      </c>
      <c r="TB8" s="1659"/>
      <c r="TC8" s="1659"/>
      <c r="TD8" s="1659"/>
      <c r="TE8" s="1659"/>
      <c r="TF8" s="1659"/>
      <c r="TG8" s="1659"/>
      <c r="TH8" s="1659"/>
      <c r="TI8" s="1659"/>
      <c r="TJ8" s="1659"/>
      <c r="TK8" s="1659"/>
      <c r="TL8" s="1660"/>
      <c r="TM8" s="1658" t="s">
        <v>751</v>
      </c>
      <c r="TN8" s="1659"/>
      <c r="TO8" s="1659"/>
      <c r="TP8" s="1659"/>
      <c r="TQ8" s="1659"/>
      <c r="TR8" s="1659"/>
      <c r="TS8" s="1659"/>
      <c r="TT8" s="1659"/>
      <c r="TU8" s="1659"/>
      <c r="TV8" s="1659"/>
      <c r="TW8" s="1659"/>
      <c r="TX8" s="1660"/>
      <c r="TY8" s="1658" t="s">
        <v>830</v>
      </c>
      <c r="TZ8" s="1659"/>
      <c r="UA8" s="1659"/>
      <c r="UB8" s="1659"/>
      <c r="UC8" s="1659"/>
      <c r="UD8" s="1659"/>
      <c r="UE8" s="1659"/>
      <c r="UF8" s="1659"/>
      <c r="UG8" s="1659"/>
      <c r="UH8" s="1659"/>
      <c r="UI8" s="1659"/>
      <c r="UJ8" s="1659"/>
      <c r="UK8" s="1659"/>
      <c r="UL8" s="1659"/>
      <c r="UM8" s="1659"/>
      <c r="UN8" s="1660"/>
      <c r="UO8" s="1658" t="s">
        <v>583</v>
      </c>
      <c r="UP8" s="1659"/>
      <c r="UQ8" s="1659"/>
      <c r="UR8" s="1659"/>
      <c r="US8" s="1659"/>
      <c r="UT8" s="1660"/>
      <c r="UU8" s="1658" t="s">
        <v>589</v>
      </c>
      <c r="UV8" s="1659"/>
      <c r="UW8" s="1659"/>
      <c r="UX8" s="1659"/>
      <c r="UY8" s="1659"/>
      <c r="UZ8" s="1660"/>
      <c r="VA8" s="1671" t="s">
        <v>654</v>
      </c>
      <c r="VB8" s="1672"/>
      <c r="VC8" s="1672"/>
      <c r="VD8" s="1672"/>
      <c r="VE8" s="1672"/>
      <c r="VF8" s="1672"/>
      <c r="VG8" s="1672"/>
      <c r="VH8" s="1672"/>
      <c r="VI8" s="1672"/>
      <c r="VJ8" s="1672"/>
      <c r="VK8" s="1672"/>
      <c r="VL8" s="1672"/>
      <c r="VM8" s="1672"/>
      <c r="VN8" s="1672"/>
      <c r="VO8" s="1672"/>
      <c r="VP8" s="1672"/>
      <c r="VQ8" s="1672"/>
      <c r="VR8" s="1672"/>
      <c r="VS8" s="1672"/>
      <c r="VT8" s="1672"/>
      <c r="VU8" s="1724"/>
      <c r="VV8" s="1724"/>
      <c r="VW8" s="1743"/>
      <c r="VX8" s="1744"/>
      <c r="VY8" s="1744"/>
      <c r="VZ8" s="1744"/>
      <c r="WA8" s="1744"/>
      <c r="WB8" s="1744"/>
      <c r="WC8" s="1744"/>
      <c r="WD8" s="1745"/>
      <c r="WE8" s="1743"/>
      <c r="WF8" s="1744"/>
      <c r="WG8" s="1744"/>
      <c r="WH8" s="1744"/>
      <c r="WI8" s="1744"/>
      <c r="WJ8" s="1744"/>
      <c r="WK8" s="1744"/>
      <c r="WL8" s="1745"/>
      <c r="WO8" s="72"/>
    </row>
    <row r="9" spans="1:613" ht="204.6" customHeight="1" thickBot="1" x14ac:dyDescent="0.3">
      <c r="A9" s="1724"/>
      <c r="B9" s="1671" t="s">
        <v>62</v>
      </c>
      <c r="C9" s="1678"/>
      <c r="D9" s="1724"/>
      <c r="E9" s="1724"/>
      <c r="F9" s="1709" t="s">
        <v>634</v>
      </c>
      <c r="G9" s="1710"/>
      <c r="H9" s="1709" t="s">
        <v>9</v>
      </c>
      <c r="I9" s="1734"/>
      <c r="J9" s="1717" t="s">
        <v>120</v>
      </c>
      <c r="K9" s="1718"/>
      <c r="L9" s="1718"/>
      <c r="M9" s="1719"/>
      <c r="N9" s="1713" t="s">
        <v>240</v>
      </c>
      <c r="O9" s="1714"/>
      <c r="P9" s="1664" t="s">
        <v>122</v>
      </c>
      <c r="Q9" s="1666"/>
      <c r="R9" s="1680" t="s">
        <v>120</v>
      </c>
      <c r="S9" s="1681"/>
      <c r="T9" s="1681"/>
      <c r="U9" s="1684"/>
      <c r="V9" s="1730" t="s">
        <v>639</v>
      </c>
      <c r="W9" s="1731"/>
      <c r="X9" s="1731"/>
      <c r="Y9" s="1731"/>
      <c r="Z9" s="1732"/>
      <c r="AA9" s="1730" t="s">
        <v>641</v>
      </c>
      <c r="AB9" s="1731"/>
      <c r="AC9" s="1731"/>
      <c r="AD9" s="1732"/>
      <c r="AE9" s="1680" t="s">
        <v>120</v>
      </c>
      <c r="AF9" s="1681"/>
      <c r="AG9" s="1681"/>
      <c r="AH9" s="1684"/>
      <c r="AI9" s="1724"/>
      <c r="AJ9" s="1724"/>
      <c r="AK9" s="1658" t="s">
        <v>530</v>
      </c>
      <c r="AL9" s="1659"/>
      <c r="AM9" s="1659"/>
      <c r="AN9" s="1659"/>
      <c r="AO9" s="1659"/>
      <c r="AP9" s="1659"/>
      <c r="AQ9" s="1659"/>
      <c r="AR9" s="1659"/>
      <c r="AS9" s="1659"/>
      <c r="AT9" s="1659"/>
      <c r="AU9" s="1671" t="s">
        <v>285</v>
      </c>
      <c r="AV9" s="1672"/>
      <c r="AW9" s="1672"/>
      <c r="AX9" s="1672"/>
      <c r="AY9" s="1672"/>
      <c r="AZ9" s="1672"/>
      <c r="BA9" s="1672"/>
      <c r="BB9" s="1672"/>
      <c r="BC9" s="1685" t="s">
        <v>120</v>
      </c>
      <c r="BD9" s="1686"/>
      <c r="BE9" s="1686"/>
      <c r="BF9" s="1686"/>
      <c r="BG9" s="1686"/>
      <c r="BH9" s="1686"/>
      <c r="BI9" s="1686"/>
      <c r="BJ9" s="1686"/>
      <c r="BK9" s="1686"/>
      <c r="BL9" s="1686"/>
      <c r="BM9" s="1686"/>
      <c r="BN9" s="1686"/>
      <c r="BO9" s="1686"/>
      <c r="BP9" s="1686"/>
      <c r="BQ9" s="1686"/>
      <c r="BR9" s="1686"/>
      <c r="BS9" s="1658" t="s">
        <v>401</v>
      </c>
      <c r="BT9" s="1659"/>
      <c r="BU9" s="1659"/>
      <c r="BV9" s="1659"/>
      <c r="BW9" s="1659"/>
      <c r="BX9" s="1659"/>
      <c r="BY9" s="1659"/>
      <c r="BZ9" s="1660"/>
      <c r="CA9" s="1671" t="s">
        <v>152</v>
      </c>
      <c r="CB9" s="1672"/>
      <c r="CC9" s="1672"/>
      <c r="CD9" s="1672"/>
      <c r="CE9" s="1672"/>
      <c r="CF9" s="1672"/>
      <c r="CG9" s="1672"/>
      <c r="CH9" s="1678"/>
      <c r="CI9" s="1675" t="s">
        <v>120</v>
      </c>
      <c r="CJ9" s="1676"/>
      <c r="CK9" s="1676"/>
      <c r="CL9" s="1682"/>
      <c r="CM9" s="1658" t="s">
        <v>823</v>
      </c>
      <c r="CN9" s="1659"/>
      <c r="CO9" s="1659"/>
      <c r="CP9" s="1660"/>
      <c r="CQ9" s="1671" t="s">
        <v>276</v>
      </c>
      <c r="CR9" s="1678"/>
      <c r="CS9" s="1671" t="s">
        <v>273</v>
      </c>
      <c r="CT9" s="1678"/>
      <c r="CU9" s="1675" t="s">
        <v>120</v>
      </c>
      <c r="CV9" s="1676"/>
      <c r="CW9" s="1676"/>
      <c r="CX9" s="1676"/>
      <c r="CY9" s="1658" t="s">
        <v>396</v>
      </c>
      <c r="CZ9" s="1659"/>
      <c r="DA9" s="1671" t="s">
        <v>277</v>
      </c>
      <c r="DB9" s="1678"/>
      <c r="DC9" s="1675" t="s">
        <v>120</v>
      </c>
      <c r="DD9" s="1676"/>
      <c r="DE9" s="1676"/>
      <c r="DF9" s="1682"/>
      <c r="DG9" s="1658" t="s">
        <v>579</v>
      </c>
      <c r="DH9" s="1659"/>
      <c r="DI9" s="1659"/>
      <c r="DJ9" s="1659"/>
      <c r="DK9" s="1659"/>
      <c r="DL9" s="1660"/>
      <c r="DM9" s="1658" t="s">
        <v>685</v>
      </c>
      <c r="DN9" s="1659"/>
      <c r="DO9" s="1659"/>
      <c r="DP9" s="1659"/>
      <c r="DQ9" s="1659"/>
      <c r="DR9" s="1659"/>
      <c r="DS9" s="1659"/>
      <c r="DT9" s="1659"/>
      <c r="DU9" s="1659"/>
      <c r="DV9" s="1659"/>
      <c r="DW9" s="1659"/>
      <c r="DX9" s="1659"/>
      <c r="DY9" s="1659"/>
      <c r="DZ9" s="1659"/>
      <c r="EA9" s="1659"/>
      <c r="EB9" s="1660"/>
      <c r="EC9" s="1658" t="s">
        <v>681</v>
      </c>
      <c r="ED9" s="1659"/>
      <c r="EE9" s="1659"/>
      <c r="EF9" s="1659"/>
      <c r="EG9" s="1659"/>
      <c r="EH9" s="1660"/>
      <c r="EI9" s="1703" t="s">
        <v>451</v>
      </c>
      <c r="EJ9" s="1704"/>
      <c r="EK9" s="1704"/>
      <c r="EL9" s="1704"/>
      <c r="EM9" s="1704"/>
      <c r="EN9" s="1704"/>
      <c r="EO9" s="1704"/>
      <c r="EP9" s="1704"/>
      <c r="EQ9" s="1704"/>
      <c r="ER9" s="1705"/>
      <c r="ES9" s="1658" t="s">
        <v>482</v>
      </c>
      <c r="ET9" s="1659"/>
      <c r="EU9" s="1659"/>
      <c r="EV9" s="1659"/>
      <c r="EW9" s="1659"/>
      <c r="EX9" s="1660"/>
      <c r="EY9" s="1658" t="s">
        <v>679</v>
      </c>
      <c r="EZ9" s="1659"/>
      <c r="FA9" s="1659"/>
      <c r="FB9" s="1659"/>
      <c r="FC9" s="1659"/>
      <c r="FD9" s="1660"/>
      <c r="FE9" s="1658" t="s">
        <v>677</v>
      </c>
      <c r="FF9" s="1659"/>
      <c r="FG9" s="1659"/>
      <c r="FH9" s="1659"/>
      <c r="FI9" s="1659"/>
      <c r="FJ9" s="1660"/>
      <c r="FK9" s="1658" t="s">
        <v>782</v>
      </c>
      <c r="FL9" s="1659"/>
      <c r="FM9" s="1659"/>
      <c r="FN9" s="1659"/>
      <c r="FO9" s="1659"/>
      <c r="FP9" s="1660"/>
      <c r="FQ9" s="1671" t="s">
        <v>780</v>
      </c>
      <c r="FR9" s="1672"/>
      <c r="FS9" s="1672"/>
      <c r="FT9" s="1672"/>
      <c r="FU9" s="1672"/>
      <c r="FV9" s="1678"/>
      <c r="FW9" s="1685" t="s">
        <v>120</v>
      </c>
      <c r="FX9" s="1686"/>
      <c r="FY9" s="1686"/>
      <c r="FZ9" s="1687"/>
      <c r="GA9" s="1658" t="s">
        <v>786</v>
      </c>
      <c r="GB9" s="1659"/>
      <c r="GC9" s="1659"/>
      <c r="GD9" s="1659"/>
      <c r="GE9" s="1659"/>
      <c r="GF9" s="1660"/>
      <c r="GG9" s="1658" t="s">
        <v>719</v>
      </c>
      <c r="GH9" s="1659"/>
      <c r="GI9" s="1659"/>
      <c r="GJ9" s="1659"/>
      <c r="GK9" s="1659"/>
      <c r="GL9" s="1659"/>
      <c r="GM9" s="1659"/>
      <c r="GN9" s="1659"/>
      <c r="GO9" s="1659"/>
      <c r="GP9" s="1660"/>
      <c r="GQ9" s="1671" t="s">
        <v>718</v>
      </c>
      <c r="GR9" s="1672"/>
      <c r="GS9" s="1672"/>
      <c r="GT9" s="1672"/>
      <c r="GU9" s="1672"/>
      <c r="GV9" s="1672"/>
      <c r="GW9" s="1672"/>
      <c r="GX9" s="1672"/>
      <c r="GY9" s="1672"/>
      <c r="GZ9" s="1678"/>
      <c r="HA9" s="1685" t="s">
        <v>120</v>
      </c>
      <c r="HB9" s="1686"/>
      <c r="HC9" s="1686"/>
      <c r="HD9" s="1686"/>
      <c r="HE9" s="1686"/>
      <c r="HF9" s="1686"/>
      <c r="HG9" s="1686"/>
      <c r="HH9" s="1686"/>
      <c r="HI9" s="1686"/>
      <c r="HJ9" s="1686"/>
      <c r="HK9" s="1686"/>
      <c r="HL9" s="1686"/>
      <c r="HM9" s="1686"/>
      <c r="HN9" s="1686"/>
      <c r="HO9" s="1686"/>
      <c r="HP9" s="1686"/>
      <c r="HQ9" s="1686"/>
      <c r="HR9" s="1686"/>
      <c r="HS9" s="1686"/>
      <c r="HT9" s="1687"/>
      <c r="HU9" s="1658" t="s">
        <v>854</v>
      </c>
      <c r="HV9" s="1659"/>
      <c r="HW9" s="1659"/>
      <c r="HX9" s="1659"/>
      <c r="HY9" s="1659"/>
      <c r="HZ9" s="1660"/>
      <c r="IA9" s="1658" t="s">
        <v>904</v>
      </c>
      <c r="IB9" s="1659"/>
      <c r="IC9" s="1659"/>
      <c r="ID9" s="1659"/>
      <c r="IE9" s="1659"/>
      <c r="IF9" s="1660"/>
      <c r="IG9" s="1658" t="s">
        <v>393</v>
      </c>
      <c r="IH9" s="1659"/>
      <c r="II9" s="1659"/>
      <c r="IJ9" s="1659"/>
      <c r="IK9" s="1659"/>
      <c r="IL9" s="1660"/>
      <c r="IM9" s="1671" t="s">
        <v>674</v>
      </c>
      <c r="IN9" s="1672"/>
      <c r="IO9" s="1672"/>
      <c r="IP9" s="1672"/>
      <c r="IQ9" s="1672"/>
      <c r="IR9" s="1678"/>
      <c r="IS9" s="1671" t="s">
        <v>671</v>
      </c>
      <c r="IT9" s="1672"/>
      <c r="IU9" s="1672"/>
      <c r="IV9" s="1672"/>
      <c r="IW9" s="1672"/>
      <c r="IX9" s="1678"/>
      <c r="IY9" s="1680" t="s">
        <v>120</v>
      </c>
      <c r="IZ9" s="1681"/>
      <c r="JA9" s="1681"/>
      <c r="JB9" s="1681"/>
      <c r="JC9" s="1681"/>
      <c r="JD9" s="1681"/>
      <c r="JE9" s="1681"/>
      <c r="JF9" s="1681"/>
      <c r="JG9" s="1681"/>
      <c r="JH9" s="1681"/>
      <c r="JI9" s="1681"/>
      <c r="JJ9" s="1684"/>
      <c r="JK9" s="1700" t="s">
        <v>553</v>
      </c>
      <c r="JL9" s="1701"/>
      <c r="JM9" s="1701"/>
      <c r="JN9" s="1701"/>
      <c r="JO9" s="1701"/>
      <c r="JP9" s="1702"/>
      <c r="JQ9" s="1726" t="s">
        <v>388</v>
      </c>
      <c r="JR9" s="1770"/>
      <c r="JS9" s="1770"/>
      <c r="JT9" s="1770"/>
      <c r="JU9" s="1770"/>
      <c r="JV9" s="1770"/>
      <c r="JW9" s="1770"/>
      <c r="JX9" s="1770"/>
      <c r="JY9" s="1770"/>
      <c r="JZ9" s="1770"/>
      <c r="KA9" s="1726" t="s">
        <v>248</v>
      </c>
      <c r="KB9" s="1770"/>
      <c r="KC9" s="1770"/>
      <c r="KD9" s="1770"/>
      <c r="KE9" s="1770"/>
      <c r="KF9" s="1770"/>
      <c r="KG9" s="1770"/>
      <c r="KH9" s="1770"/>
      <c r="KI9" s="1770"/>
      <c r="KJ9" s="1770"/>
      <c r="KK9" s="1680" t="s">
        <v>120</v>
      </c>
      <c r="KL9" s="1681"/>
      <c r="KM9" s="1681"/>
      <c r="KN9" s="1681"/>
      <c r="KO9" s="1681"/>
      <c r="KP9" s="1681"/>
      <c r="KQ9" s="1681"/>
      <c r="KR9" s="1681"/>
      <c r="KS9" s="1681"/>
      <c r="KT9" s="1681"/>
      <c r="KU9" s="1681"/>
      <c r="KV9" s="1681"/>
      <c r="KW9" s="1681"/>
      <c r="KX9" s="1681"/>
      <c r="KY9" s="1681"/>
      <c r="KZ9" s="1681"/>
      <c r="LA9" s="1681"/>
      <c r="LB9" s="1681"/>
      <c r="LC9" s="1681"/>
      <c r="LD9" s="1681"/>
      <c r="LE9" s="1658" t="s">
        <v>385</v>
      </c>
      <c r="LF9" s="1659"/>
      <c r="LG9" s="1659"/>
      <c r="LH9" s="1659"/>
      <c r="LI9" s="1659"/>
      <c r="LJ9" s="1659"/>
      <c r="LK9" s="1659"/>
      <c r="LL9" s="1659"/>
      <c r="LM9" s="1659"/>
      <c r="LN9" s="1659"/>
      <c r="LO9" s="1659"/>
      <c r="LP9" s="1660"/>
      <c r="LQ9" s="1658" t="s">
        <v>668</v>
      </c>
      <c r="LR9" s="1659"/>
      <c r="LS9" s="1659"/>
      <c r="LT9" s="1659"/>
      <c r="LU9" s="1659"/>
      <c r="LV9" s="1659"/>
      <c r="LW9" s="1659"/>
      <c r="LX9" s="1659"/>
      <c r="LY9" s="1659"/>
      <c r="LZ9" s="1659"/>
      <c r="MA9" s="1671" t="s">
        <v>665</v>
      </c>
      <c r="MB9" s="1672"/>
      <c r="MC9" s="1672"/>
      <c r="MD9" s="1672"/>
      <c r="ME9" s="1672"/>
      <c r="MF9" s="1672"/>
      <c r="MG9" s="1672"/>
      <c r="MH9" s="1678"/>
      <c r="MI9" s="1685" t="s">
        <v>120</v>
      </c>
      <c r="MJ9" s="1686"/>
      <c r="MK9" s="1686"/>
      <c r="ML9" s="1687"/>
      <c r="MM9" s="1671" t="s">
        <v>661</v>
      </c>
      <c r="MN9" s="1672"/>
      <c r="MO9" s="1672"/>
      <c r="MP9" s="1672"/>
      <c r="MQ9" s="1672"/>
      <c r="MR9" s="1672"/>
      <c r="MS9" s="1672"/>
      <c r="MT9" s="1678"/>
      <c r="MU9" s="1671" t="s">
        <v>658</v>
      </c>
      <c r="MV9" s="1672"/>
      <c r="MW9" s="1672"/>
      <c r="MX9" s="1672"/>
      <c r="MY9" s="1672"/>
      <c r="MZ9" s="1672"/>
      <c r="NA9" s="1672"/>
      <c r="NB9" s="1678"/>
      <c r="NC9" s="1680" t="s">
        <v>120</v>
      </c>
      <c r="ND9" s="1681"/>
      <c r="NE9" s="1681"/>
      <c r="NF9" s="1681"/>
      <c r="NG9" s="1681"/>
      <c r="NH9" s="1681"/>
      <c r="NI9" s="1681"/>
      <c r="NJ9" s="1681"/>
      <c r="NK9" s="1681"/>
      <c r="NL9" s="1681"/>
      <c r="NM9" s="1681"/>
      <c r="NN9" s="1681"/>
      <c r="NO9" s="1681"/>
      <c r="NP9" s="1681"/>
      <c r="NQ9" s="1681"/>
      <c r="NR9" s="1684"/>
      <c r="NS9" s="1664" t="s">
        <v>909</v>
      </c>
      <c r="NT9" s="1665"/>
      <c r="NU9" s="1665"/>
      <c r="NV9" s="1665"/>
      <c r="NW9" s="1665"/>
      <c r="NX9" s="1666"/>
      <c r="NY9" s="1671" t="s">
        <v>647</v>
      </c>
      <c r="NZ9" s="1672"/>
      <c r="OA9" s="1672"/>
      <c r="OB9" s="1672"/>
      <c r="OC9" s="1672"/>
      <c r="OD9" s="1672"/>
      <c r="OE9" s="1672"/>
      <c r="OF9" s="1672"/>
      <c r="OG9" s="1672"/>
      <c r="OH9" s="1672"/>
      <c r="OI9" s="1672"/>
      <c r="OJ9" s="1672"/>
      <c r="OK9" s="1672"/>
      <c r="OL9" s="1678"/>
      <c r="OM9" s="1675" t="s">
        <v>120</v>
      </c>
      <c r="ON9" s="1676"/>
      <c r="OO9" s="1676"/>
      <c r="OP9" s="1676"/>
      <c r="OQ9" s="1676"/>
      <c r="OR9" s="1676"/>
      <c r="OS9" s="1676"/>
      <c r="OT9" s="1676"/>
      <c r="OU9" s="1676"/>
      <c r="OV9" s="1676"/>
      <c r="OW9" s="1676"/>
      <c r="OX9" s="1676"/>
      <c r="OY9" s="1676"/>
      <c r="OZ9" s="1676"/>
      <c r="PA9" s="1676"/>
      <c r="PB9" s="1676"/>
      <c r="PC9" s="1676"/>
      <c r="PD9" s="1676"/>
      <c r="PE9" s="1676"/>
      <c r="PF9" s="1676"/>
      <c r="PG9" s="1676"/>
      <c r="PH9" s="1676"/>
      <c r="PI9" s="1676"/>
      <c r="PJ9" s="1676"/>
      <c r="PK9" s="1676"/>
      <c r="PL9" s="1676"/>
      <c r="PM9" s="1676"/>
      <c r="PN9" s="1682"/>
      <c r="PO9" s="1658" t="s">
        <v>607</v>
      </c>
      <c r="PP9" s="1659"/>
      <c r="PQ9" s="1659"/>
      <c r="PR9" s="1659"/>
      <c r="PS9" s="1659"/>
      <c r="PT9" s="1660"/>
      <c r="PU9" s="1671" t="s">
        <v>701</v>
      </c>
      <c r="PV9" s="1672"/>
      <c r="PW9" s="1672"/>
      <c r="PX9" s="1672"/>
      <c r="PY9" s="1672"/>
      <c r="PZ9" s="1672"/>
      <c r="QA9" s="1671" t="s">
        <v>652</v>
      </c>
      <c r="QB9" s="1672"/>
      <c r="QC9" s="1672"/>
      <c r="QD9" s="1672"/>
      <c r="QE9" s="1672"/>
      <c r="QF9" s="1672"/>
      <c r="QG9" s="1768" t="s">
        <v>120</v>
      </c>
      <c r="QH9" s="1769"/>
      <c r="QI9" s="1769"/>
      <c r="QJ9" s="1769"/>
      <c r="QK9" s="1769"/>
      <c r="QL9" s="1769"/>
      <c r="QM9" s="1769"/>
      <c r="QN9" s="1769"/>
      <c r="QO9" s="1769"/>
      <c r="QP9" s="1769"/>
      <c r="QQ9" s="1769"/>
      <c r="QR9" s="1769"/>
      <c r="QS9" s="1658" t="s">
        <v>380</v>
      </c>
      <c r="QT9" s="1660"/>
      <c r="QU9" s="1671" t="s">
        <v>23</v>
      </c>
      <c r="QV9" s="1678"/>
      <c r="QW9" s="1680" t="s">
        <v>120</v>
      </c>
      <c r="QX9" s="1681"/>
      <c r="QY9" s="1681"/>
      <c r="QZ9" s="1684"/>
      <c r="RA9" s="1724"/>
      <c r="RB9" s="1749"/>
      <c r="RC9" s="1749"/>
      <c r="RD9" s="1724"/>
      <c r="RE9" s="1749"/>
      <c r="RF9" s="1749"/>
      <c r="RG9" s="1658" t="s">
        <v>375</v>
      </c>
      <c r="RH9" s="1670"/>
      <c r="RI9" s="1658" t="s">
        <v>372</v>
      </c>
      <c r="RJ9" s="1670"/>
      <c r="RK9" s="1658" t="s">
        <v>369</v>
      </c>
      <c r="RL9" s="1660"/>
      <c r="RM9" s="1671" t="s">
        <v>367</v>
      </c>
      <c r="RN9" s="1678"/>
      <c r="RO9" s="1658" t="s">
        <v>364</v>
      </c>
      <c r="RP9" s="1660"/>
      <c r="RQ9" s="1694" t="s">
        <v>361</v>
      </c>
      <c r="RR9" s="1695"/>
      <c r="RS9" s="1658" t="s">
        <v>358</v>
      </c>
      <c r="RT9" s="1660"/>
      <c r="RU9" s="1658" t="s">
        <v>355</v>
      </c>
      <c r="RV9" s="1660"/>
      <c r="RW9" s="1658" t="s">
        <v>566</v>
      </c>
      <c r="RX9" s="1660"/>
      <c r="RY9" s="1691" t="s">
        <v>352</v>
      </c>
      <c r="RZ9" s="1692"/>
      <c r="SA9" s="1692"/>
      <c r="SB9" s="1692"/>
      <c r="SC9" s="1692"/>
      <c r="SD9" s="1692"/>
      <c r="SE9" s="1692"/>
      <c r="SF9" s="1692"/>
      <c r="SG9" s="1726"/>
      <c r="SH9" s="1724"/>
      <c r="SI9" s="1658" t="s">
        <v>862</v>
      </c>
      <c r="SJ9" s="1659"/>
      <c r="SK9" s="1659"/>
      <c r="SL9" s="1659"/>
      <c r="SM9" s="1659"/>
      <c r="SN9" s="1660"/>
      <c r="SO9" s="1671" t="s">
        <v>741</v>
      </c>
      <c r="SP9" s="1672"/>
      <c r="SQ9" s="1672"/>
      <c r="SR9" s="1678"/>
      <c r="SS9" s="1761" t="s">
        <v>742</v>
      </c>
      <c r="ST9" s="1762"/>
      <c r="SU9" s="1762"/>
      <c r="SV9" s="1763"/>
      <c r="SW9" s="1685" t="s">
        <v>120</v>
      </c>
      <c r="SX9" s="1686"/>
      <c r="SY9" s="1686"/>
      <c r="SZ9" s="1687"/>
      <c r="TA9" s="1671" t="s">
        <v>542</v>
      </c>
      <c r="TB9" s="1672"/>
      <c r="TC9" s="1672"/>
      <c r="TD9" s="1678"/>
      <c r="TE9" s="1740" t="s">
        <v>543</v>
      </c>
      <c r="TF9" s="1741"/>
      <c r="TG9" s="1741"/>
      <c r="TH9" s="1742"/>
      <c r="TI9" s="1697" t="s">
        <v>120</v>
      </c>
      <c r="TJ9" s="1698"/>
      <c r="TK9" s="1698"/>
      <c r="TL9" s="1699"/>
      <c r="TM9" s="1671" t="s">
        <v>756</v>
      </c>
      <c r="TN9" s="1672"/>
      <c r="TO9" s="1672"/>
      <c r="TP9" s="1678"/>
      <c r="TQ9" s="1740" t="s">
        <v>753</v>
      </c>
      <c r="TR9" s="1741"/>
      <c r="TS9" s="1741"/>
      <c r="TT9" s="1742"/>
      <c r="TU9" s="1697" t="s">
        <v>120</v>
      </c>
      <c r="TV9" s="1698"/>
      <c r="TW9" s="1698"/>
      <c r="TX9" s="1699"/>
      <c r="TY9" s="1671" t="s">
        <v>907</v>
      </c>
      <c r="TZ9" s="1672"/>
      <c r="UA9" s="1672"/>
      <c r="UB9" s="1672"/>
      <c r="UC9" s="1672"/>
      <c r="UD9" s="1678"/>
      <c r="UE9" s="1671" t="s">
        <v>831</v>
      </c>
      <c r="UF9" s="1672"/>
      <c r="UG9" s="1672"/>
      <c r="UH9" s="1672"/>
      <c r="UI9" s="1672"/>
      <c r="UJ9" s="1678"/>
      <c r="UK9" s="1685" t="s">
        <v>120</v>
      </c>
      <c r="UL9" s="1686"/>
      <c r="UM9" s="1686"/>
      <c r="UN9" s="1687"/>
      <c r="UO9" s="1658" t="s">
        <v>584</v>
      </c>
      <c r="UP9" s="1659"/>
      <c r="UQ9" s="1659"/>
      <c r="UR9" s="1659"/>
      <c r="US9" s="1659"/>
      <c r="UT9" s="1660"/>
      <c r="UU9" s="1658" t="s">
        <v>590</v>
      </c>
      <c r="UV9" s="1659"/>
      <c r="UW9" s="1659"/>
      <c r="UX9" s="1659"/>
      <c r="UY9" s="1659"/>
      <c r="UZ9" s="1660"/>
      <c r="VA9" s="1671" t="s">
        <v>348</v>
      </c>
      <c r="VB9" s="1672"/>
      <c r="VC9" s="1672"/>
      <c r="VD9" s="1672"/>
      <c r="VE9" s="1672"/>
      <c r="VF9" s="1672"/>
      <c r="VG9" s="1672"/>
      <c r="VH9" s="1672"/>
      <c r="VI9" s="1671" t="s">
        <v>73</v>
      </c>
      <c r="VJ9" s="1672"/>
      <c r="VK9" s="1672"/>
      <c r="VL9" s="1672"/>
      <c r="VM9" s="1675" t="s">
        <v>120</v>
      </c>
      <c r="VN9" s="1676"/>
      <c r="VO9" s="1676"/>
      <c r="VP9" s="1676"/>
      <c r="VQ9" s="1676"/>
      <c r="VR9" s="1676"/>
      <c r="VS9" s="1676"/>
      <c r="VT9" s="1676"/>
      <c r="VU9" s="1724"/>
      <c r="VV9" s="1724"/>
      <c r="VW9" s="1755" t="s">
        <v>63</v>
      </c>
      <c r="VX9" s="1756"/>
      <c r="VY9" s="1740" t="s">
        <v>119</v>
      </c>
      <c r="VZ9" s="1742"/>
      <c r="WA9" s="1697" t="s">
        <v>120</v>
      </c>
      <c r="WB9" s="1698"/>
      <c r="WC9" s="1698"/>
      <c r="WD9" s="1699"/>
      <c r="WE9" s="1753" t="s">
        <v>69</v>
      </c>
      <c r="WF9" s="1754"/>
      <c r="WG9" s="1740" t="s">
        <v>121</v>
      </c>
      <c r="WH9" s="1742"/>
      <c r="WI9" s="1697" t="s">
        <v>120</v>
      </c>
      <c r="WJ9" s="1698"/>
      <c r="WK9" s="1698"/>
      <c r="WL9" s="1699"/>
      <c r="WO9" s="72"/>
    </row>
    <row r="10" spans="1:613" ht="212.1" customHeight="1" thickBot="1" x14ac:dyDescent="0.3">
      <c r="A10" s="1724"/>
      <c r="B10" s="1673"/>
      <c r="C10" s="1679"/>
      <c r="D10" s="1724"/>
      <c r="E10" s="1724"/>
      <c r="F10" s="1691" t="s">
        <v>635</v>
      </c>
      <c r="G10" s="1692"/>
      <c r="H10" s="1735"/>
      <c r="I10" s="1736"/>
      <c r="J10" s="1711" t="s">
        <v>636</v>
      </c>
      <c r="K10" s="1712"/>
      <c r="L10" s="1711" t="s">
        <v>637</v>
      </c>
      <c r="M10" s="1712"/>
      <c r="N10" s="1713" t="s">
        <v>241</v>
      </c>
      <c r="O10" s="1714"/>
      <c r="P10" s="1667"/>
      <c r="Q10" s="1669"/>
      <c r="R10" s="1715" t="s">
        <v>242</v>
      </c>
      <c r="S10" s="1716"/>
      <c r="T10" s="1715" t="s">
        <v>243</v>
      </c>
      <c r="U10" s="1716"/>
      <c r="V10" s="1700" t="s">
        <v>640</v>
      </c>
      <c r="W10" s="1701"/>
      <c r="X10" s="1701"/>
      <c r="Y10" s="1701"/>
      <c r="Z10" s="1702"/>
      <c r="AA10" s="1737"/>
      <c r="AB10" s="1738"/>
      <c r="AC10" s="1738"/>
      <c r="AD10" s="1739"/>
      <c r="AE10" s="1715" t="s">
        <v>643</v>
      </c>
      <c r="AF10" s="1716"/>
      <c r="AG10" s="1715" t="s">
        <v>642</v>
      </c>
      <c r="AH10" s="1716"/>
      <c r="AI10" s="1724"/>
      <c r="AJ10" s="1726"/>
      <c r="AK10" s="1658" t="s">
        <v>531</v>
      </c>
      <c r="AL10" s="1659"/>
      <c r="AM10" s="1659"/>
      <c r="AN10" s="1659"/>
      <c r="AO10" s="1659"/>
      <c r="AP10" s="1659"/>
      <c r="AQ10" s="1659"/>
      <c r="AR10" s="1659"/>
      <c r="AS10" s="1659"/>
      <c r="AT10" s="1659"/>
      <c r="AU10" s="1673"/>
      <c r="AV10" s="1674"/>
      <c r="AW10" s="1674"/>
      <c r="AX10" s="1674"/>
      <c r="AY10" s="1674"/>
      <c r="AZ10" s="1674"/>
      <c r="BA10" s="1674"/>
      <c r="BB10" s="1674"/>
      <c r="BC10" s="1685" t="s">
        <v>532</v>
      </c>
      <c r="BD10" s="1686"/>
      <c r="BE10" s="1686"/>
      <c r="BF10" s="1686"/>
      <c r="BG10" s="1686"/>
      <c r="BH10" s="1686"/>
      <c r="BI10" s="1686"/>
      <c r="BJ10" s="1686"/>
      <c r="BK10" s="1685" t="s">
        <v>533</v>
      </c>
      <c r="BL10" s="1686"/>
      <c r="BM10" s="1686"/>
      <c r="BN10" s="1686"/>
      <c r="BO10" s="1686"/>
      <c r="BP10" s="1686"/>
      <c r="BQ10" s="1686"/>
      <c r="BR10" s="1686"/>
      <c r="BS10" s="1658" t="s">
        <v>402</v>
      </c>
      <c r="BT10" s="1659"/>
      <c r="BU10" s="1659"/>
      <c r="BV10" s="1659"/>
      <c r="BW10" s="1659"/>
      <c r="BX10" s="1659"/>
      <c r="BY10" s="1659"/>
      <c r="BZ10" s="1660"/>
      <c r="CA10" s="1673"/>
      <c r="CB10" s="1674"/>
      <c r="CC10" s="1674"/>
      <c r="CD10" s="1674"/>
      <c r="CE10" s="1674"/>
      <c r="CF10" s="1674"/>
      <c r="CG10" s="1674"/>
      <c r="CH10" s="1679"/>
      <c r="CI10" s="1675" t="s">
        <v>403</v>
      </c>
      <c r="CJ10" s="1682"/>
      <c r="CK10" s="1675" t="s">
        <v>404</v>
      </c>
      <c r="CL10" s="1682"/>
      <c r="CM10" s="1658" t="s">
        <v>824</v>
      </c>
      <c r="CN10" s="1659"/>
      <c r="CO10" s="1659"/>
      <c r="CP10" s="1660"/>
      <c r="CQ10" s="1671" t="s">
        <v>877</v>
      </c>
      <c r="CR10" s="1678"/>
      <c r="CS10" s="1673"/>
      <c r="CT10" s="1679"/>
      <c r="CU10" s="1675" t="s">
        <v>274</v>
      </c>
      <c r="CV10" s="1722"/>
      <c r="CW10" s="1675" t="s">
        <v>275</v>
      </c>
      <c r="CX10" s="1722"/>
      <c r="CY10" s="1658" t="s">
        <v>397</v>
      </c>
      <c r="CZ10" s="1660"/>
      <c r="DA10" s="1673"/>
      <c r="DB10" s="1679"/>
      <c r="DC10" s="1675" t="s">
        <v>398</v>
      </c>
      <c r="DD10" s="1676"/>
      <c r="DE10" s="1675" t="s">
        <v>399</v>
      </c>
      <c r="DF10" s="1682"/>
      <c r="DG10" s="1658" t="s">
        <v>580</v>
      </c>
      <c r="DH10" s="1659"/>
      <c r="DI10" s="1659"/>
      <c r="DJ10" s="1659"/>
      <c r="DK10" s="1659"/>
      <c r="DL10" s="1660"/>
      <c r="DM10" s="1658" t="s">
        <v>686</v>
      </c>
      <c r="DN10" s="1659"/>
      <c r="DO10" s="1659"/>
      <c r="DP10" s="1659"/>
      <c r="DQ10" s="1659"/>
      <c r="DR10" s="1659"/>
      <c r="DS10" s="1659"/>
      <c r="DT10" s="1659"/>
      <c r="DU10" s="1659"/>
      <c r="DV10" s="1659"/>
      <c r="DW10" s="1659"/>
      <c r="DX10" s="1659"/>
      <c r="DY10" s="1659"/>
      <c r="DZ10" s="1659"/>
      <c r="EA10" s="1659"/>
      <c r="EB10" s="1660"/>
      <c r="EC10" s="1658" t="s">
        <v>682</v>
      </c>
      <c r="ED10" s="1659"/>
      <c r="EE10" s="1659"/>
      <c r="EF10" s="1659"/>
      <c r="EG10" s="1659"/>
      <c r="EH10" s="1660"/>
      <c r="EI10" s="1703" t="s">
        <v>452</v>
      </c>
      <c r="EJ10" s="1704"/>
      <c r="EK10" s="1704"/>
      <c r="EL10" s="1704"/>
      <c r="EM10" s="1704"/>
      <c r="EN10" s="1704"/>
      <c r="EO10" s="1704"/>
      <c r="EP10" s="1704"/>
      <c r="EQ10" s="1704"/>
      <c r="ER10" s="1705"/>
      <c r="ES10" s="1658" t="s">
        <v>483</v>
      </c>
      <c r="ET10" s="1659"/>
      <c r="EU10" s="1659"/>
      <c r="EV10" s="1659"/>
      <c r="EW10" s="1659"/>
      <c r="EX10" s="1660"/>
      <c r="EY10" s="1658" t="s">
        <v>680</v>
      </c>
      <c r="EZ10" s="1659"/>
      <c r="FA10" s="1659"/>
      <c r="FB10" s="1659"/>
      <c r="FC10" s="1659"/>
      <c r="FD10" s="1660"/>
      <c r="FE10" s="1658" t="s">
        <v>678</v>
      </c>
      <c r="FF10" s="1659"/>
      <c r="FG10" s="1659"/>
      <c r="FH10" s="1659"/>
      <c r="FI10" s="1659"/>
      <c r="FJ10" s="1660"/>
      <c r="FK10" s="1658" t="s">
        <v>783</v>
      </c>
      <c r="FL10" s="1659"/>
      <c r="FM10" s="1659"/>
      <c r="FN10" s="1659"/>
      <c r="FO10" s="1659"/>
      <c r="FP10" s="1660"/>
      <c r="FQ10" s="1673"/>
      <c r="FR10" s="1674"/>
      <c r="FS10" s="1674"/>
      <c r="FT10" s="1674"/>
      <c r="FU10" s="1674"/>
      <c r="FV10" s="1679"/>
      <c r="FW10" s="1685" t="s">
        <v>781</v>
      </c>
      <c r="FX10" s="1687"/>
      <c r="FY10" s="1686" t="s">
        <v>784</v>
      </c>
      <c r="FZ10" s="1687"/>
      <c r="GA10" s="1658" t="s">
        <v>787</v>
      </c>
      <c r="GB10" s="1659"/>
      <c r="GC10" s="1659"/>
      <c r="GD10" s="1659"/>
      <c r="GE10" s="1659"/>
      <c r="GF10" s="1660"/>
      <c r="GG10" s="1658" t="s">
        <v>720</v>
      </c>
      <c r="GH10" s="1659"/>
      <c r="GI10" s="1659"/>
      <c r="GJ10" s="1659"/>
      <c r="GK10" s="1659"/>
      <c r="GL10" s="1659"/>
      <c r="GM10" s="1659"/>
      <c r="GN10" s="1659"/>
      <c r="GO10" s="1659"/>
      <c r="GP10" s="1660"/>
      <c r="GQ10" s="1673"/>
      <c r="GR10" s="1674"/>
      <c r="GS10" s="1674"/>
      <c r="GT10" s="1674"/>
      <c r="GU10" s="1674"/>
      <c r="GV10" s="1674"/>
      <c r="GW10" s="1674"/>
      <c r="GX10" s="1674"/>
      <c r="GY10" s="1674"/>
      <c r="GZ10" s="1679"/>
      <c r="HA10" s="1685" t="s">
        <v>721</v>
      </c>
      <c r="HB10" s="1686"/>
      <c r="HC10" s="1686"/>
      <c r="HD10" s="1686"/>
      <c r="HE10" s="1686"/>
      <c r="HF10" s="1686"/>
      <c r="HG10" s="1686"/>
      <c r="HH10" s="1686"/>
      <c r="HI10" s="1686"/>
      <c r="HJ10" s="1687"/>
      <c r="HK10" s="1685" t="s">
        <v>722</v>
      </c>
      <c r="HL10" s="1686"/>
      <c r="HM10" s="1686"/>
      <c r="HN10" s="1686"/>
      <c r="HO10" s="1686"/>
      <c r="HP10" s="1686"/>
      <c r="HQ10" s="1686"/>
      <c r="HR10" s="1686"/>
      <c r="HS10" s="1686"/>
      <c r="HT10" s="1687"/>
      <c r="HU10" s="1658" t="s">
        <v>855</v>
      </c>
      <c r="HV10" s="1659"/>
      <c r="HW10" s="1659"/>
      <c r="HX10" s="1659"/>
      <c r="HY10" s="1659"/>
      <c r="HZ10" s="1660"/>
      <c r="IA10" s="1658" t="s">
        <v>905</v>
      </c>
      <c r="IB10" s="1659"/>
      <c r="IC10" s="1659"/>
      <c r="ID10" s="1659"/>
      <c r="IE10" s="1659"/>
      <c r="IF10" s="1660"/>
      <c r="IG10" s="1658" t="s">
        <v>394</v>
      </c>
      <c r="IH10" s="1659"/>
      <c r="II10" s="1659"/>
      <c r="IJ10" s="1659"/>
      <c r="IK10" s="1659"/>
      <c r="IL10" s="1660"/>
      <c r="IM10" s="1658" t="s">
        <v>675</v>
      </c>
      <c r="IN10" s="1659"/>
      <c r="IO10" s="1659"/>
      <c r="IP10" s="1659"/>
      <c r="IQ10" s="1659"/>
      <c r="IR10" s="1660"/>
      <c r="IS10" s="1673"/>
      <c r="IT10" s="1674"/>
      <c r="IU10" s="1674"/>
      <c r="IV10" s="1674"/>
      <c r="IW10" s="1674"/>
      <c r="IX10" s="1679"/>
      <c r="IY10" s="1675" t="s">
        <v>672</v>
      </c>
      <c r="IZ10" s="1676"/>
      <c r="JA10" s="1676"/>
      <c r="JB10" s="1676"/>
      <c r="JC10" s="1676"/>
      <c r="JD10" s="1682"/>
      <c r="JE10" s="1675" t="s">
        <v>673</v>
      </c>
      <c r="JF10" s="1676"/>
      <c r="JG10" s="1676"/>
      <c r="JH10" s="1676"/>
      <c r="JI10" s="1676"/>
      <c r="JJ10" s="1682"/>
      <c r="JK10" s="1658" t="s">
        <v>554</v>
      </c>
      <c r="JL10" s="1659"/>
      <c r="JM10" s="1659"/>
      <c r="JN10" s="1659"/>
      <c r="JO10" s="1659"/>
      <c r="JP10" s="1660"/>
      <c r="JQ10" s="1658" t="s">
        <v>389</v>
      </c>
      <c r="JR10" s="1659"/>
      <c r="JS10" s="1659"/>
      <c r="JT10" s="1659"/>
      <c r="JU10" s="1659"/>
      <c r="JV10" s="1659"/>
      <c r="JW10" s="1659"/>
      <c r="JX10" s="1659"/>
      <c r="JY10" s="1659"/>
      <c r="JZ10" s="1659"/>
      <c r="KA10" s="1673"/>
      <c r="KB10" s="1674"/>
      <c r="KC10" s="1674"/>
      <c r="KD10" s="1674"/>
      <c r="KE10" s="1674"/>
      <c r="KF10" s="1674"/>
      <c r="KG10" s="1674"/>
      <c r="KH10" s="1674"/>
      <c r="KI10" s="1674"/>
      <c r="KJ10" s="1674"/>
      <c r="KK10" s="1764" t="s">
        <v>390</v>
      </c>
      <c r="KL10" s="1765"/>
      <c r="KM10" s="1765"/>
      <c r="KN10" s="1765"/>
      <c r="KO10" s="1765"/>
      <c r="KP10" s="1765"/>
      <c r="KQ10" s="1765"/>
      <c r="KR10" s="1765"/>
      <c r="KS10" s="1765"/>
      <c r="KT10" s="1765"/>
      <c r="KU10" s="1675" t="s">
        <v>391</v>
      </c>
      <c r="KV10" s="1676"/>
      <c r="KW10" s="1676"/>
      <c r="KX10" s="1676"/>
      <c r="KY10" s="1676"/>
      <c r="KZ10" s="1676"/>
      <c r="LA10" s="1676"/>
      <c r="LB10" s="1676"/>
      <c r="LC10" s="1676"/>
      <c r="LD10" s="1676"/>
      <c r="LE10" s="1658" t="s">
        <v>386</v>
      </c>
      <c r="LF10" s="1659"/>
      <c r="LG10" s="1659"/>
      <c r="LH10" s="1659"/>
      <c r="LI10" s="1659"/>
      <c r="LJ10" s="1659"/>
      <c r="LK10" s="1659"/>
      <c r="LL10" s="1659"/>
      <c r="LM10" s="1659"/>
      <c r="LN10" s="1659"/>
      <c r="LO10" s="1659"/>
      <c r="LP10" s="1660"/>
      <c r="LQ10" s="1658" t="s">
        <v>669</v>
      </c>
      <c r="LR10" s="1659"/>
      <c r="LS10" s="1659"/>
      <c r="LT10" s="1659"/>
      <c r="LU10" s="1659"/>
      <c r="LV10" s="1659"/>
      <c r="LW10" s="1659"/>
      <c r="LX10" s="1659"/>
      <c r="LY10" s="1659"/>
      <c r="LZ10" s="1659"/>
      <c r="MA10" s="1673"/>
      <c r="MB10" s="1674"/>
      <c r="MC10" s="1674"/>
      <c r="MD10" s="1674"/>
      <c r="ME10" s="1674"/>
      <c r="MF10" s="1674"/>
      <c r="MG10" s="1674"/>
      <c r="MH10" s="1679"/>
      <c r="MI10" s="1685" t="s">
        <v>666</v>
      </c>
      <c r="MJ10" s="1687"/>
      <c r="MK10" s="1685" t="s">
        <v>667</v>
      </c>
      <c r="ML10" s="1687"/>
      <c r="MM10" s="1658" t="s">
        <v>662</v>
      </c>
      <c r="MN10" s="1659"/>
      <c r="MO10" s="1659"/>
      <c r="MP10" s="1659"/>
      <c r="MQ10" s="1659"/>
      <c r="MR10" s="1659"/>
      <c r="MS10" s="1659"/>
      <c r="MT10" s="1660"/>
      <c r="MU10" s="1673"/>
      <c r="MV10" s="1674"/>
      <c r="MW10" s="1674"/>
      <c r="MX10" s="1674"/>
      <c r="MY10" s="1674"/>
      <c r="MZ10" s="1674"/>
      <c r="NA10" s="1674"/>
      <c r="NB10" s="1679"/>
      <c r="NC10" s="1675" t="s">
        <v>659</v>
      </c>
      <c r="ND10" s="1676"/>
      <c r="NE10" s="1676"/>
      <c r="NF10" s="1676"/>
      <c r="NG10" s="1676"/>
      <c r="NH10" s="1676"/>
      <c r="NI10" s="1676"/>
      <c r="NJ10" s="1676"/>
      <c r="NK10" s="1675" t="s">
        <v>660</v>
      </c>
      <c r="NL10" s="1676"/>
      <c r="NM10" s="1676"/>
      <c r="NN10" s="1676"/>
      <c r="NO10" s="1676"/>
      <c r="NP10" s="1676"/>
      <c r="NQ10" s="1676"/>
      <c r="NR10" s="1682"/>
      <c r="NS10" s="1667"/>
      <c r="NT10" s="1668"/>
      <c r="NU10" s="1668"/>
      <c r="NV10" s="1668"/>
      <c r="NW10" s="1668"/>
      <c r="NX10" s="1669"/>
      <c r="NY10" s="1673"/>
      <c r="NZ10" s="1674"/>
      <c r="OA10" s="1674"/>
      <c r="OB10" s="1674"/>
      <c r="OC10" s="1674"/>
      <c r="OD10" s="1674"/>
      <c r="OE10" s="1674"/>
      <c r="OF10" s="1674"/>
      <c r="OG10" s="1674"/>
      <c r="OH10" s="1674"/>
      <c r="OI10" s="1674"/>
      <c r="OJ10" s="1674"/>
      <c r="OK10" s="1674"/>
      <c r="OL10" s="1679"/>
      <c r="OM10" s="1675" t="s">
        <v>646</v>
      </c>
      <c r="ON10" s="1676"/>
      <c r="OO10" s="1676"/>
      <c r="OP10" s="1676"/>
      <c r="OQ10" s="1676"/>
      <c r="OR10" s="1676"/>
      <c r="OS10" s="1676"/>
      <c r="OT10" s="1676"/>
      <c r="OU10" s="1676"/>
      <c r="OV10" s="1676"/>
      <c r="OW10" s="1676"/>
      <c r="OX10" s="1676"/>
      <c r="OY10" s="1676"/>
      <c r="OZ10" s="1682"/>
      <c r="PA10" s="1675" t="s">
        <v>645</v>
      </c>
      <c r="PB10" s="1676"/>
      <c r="PC10" s="1676"/>
      <c r="PD10" s="1676"/>
      <c r="PE10" s="1676"/>
      <c r="PF10" s="1676"/>
      <c r="PG10" s="1676"/>
      <c r="PH10" s="1676"/>
      <c r="PI10" s="1676"/>
      <c r="PJ10" s="1676"/>
      <c r="PK10" s="1676"/>
      <c r="PL10" s="1676"/>
      <c r="PM10" s="1676"/>
      <c r="PN10" s="1682"/>
      <c r="PO10" s="1658" t="s">
        <v>608</v>
      </c>
      <c r="PP10" s="1659"/>
      <c r="PQ10" s="1659"/>
      <c r="PR10" s="1659"/>
      <c r="PS10" s="1659"/>
      <c r="PT10" s="1660"/>
      <c r="PU10" s="1658" t="s">
        <v>700</v>
      </c>
      <c r="PV10" s="1659"/>
      <c r="PW10" s="1659"/>
      <c r="PX10" s="1659"/>
      <c r="PY10" s="1659"/>
      <c r="PZ10" s="1659"/>
      <c r="QA10" s="1673"/>
      <c r="QB10" s="1674"/>
      <c r="QC10" s="1674"/>
      <c r="QD10" s="1674"/>
      <c r="QE10" s="1674"/>
      <c r="QF10" s="1674"/>
      <c r="QG10" s="1685" t="s">
        <v>651</v>
      </c>
      <c r="QH10" s="1686"/>
      <c r="QI10" s="1686"/>
      <c r="QJ10" s="1686"/>
      <c r="QK10" s="1686"/>
      <c r="QL10" s="1686"/>
      <c r="QM10" s="1685" t="s">
        <v>650</v>
      </c>
      <c r="QN10" s="1686"/>
      <c r="QO10" s="1686"/>
      <c r="QP10" s="1686"/>
      <c r="QQ10" s="1686"/>
      <c r="QR10" s="1686"/>
      <c r="QS10" s="1658" t="s">
        <v>381</v>
      </c>
      <c r="QT10" s="1660"/>
      <c r="QU10" s="1673"/>
      <c r="QV10" s="1679"/>
      <c r="QW10" s="1675" t="s">
        <v>378</v>
      </c>
      <c r="QX10" s="1682"/>
      <c r="QY10" s="1675" t="s">
        <v>379</v>
      </c>
      <c r="QZ10" s="1682"/>
      <c r="RA10" s="1724"/>
      <c r="RB10" s="1749"/>
      <c r="RC10" s="1749"/>
      <c r="RD10" s="1724"/>
      <c r="RE10" s="1749"/>
      <c r="RF10" s="1749"/>
      <c r="RG10" s="1658" t="s">
        <v>376</v>
      </c>
      <c r="RH10" s="1714"/>
      <c r="RI10" s="1658" t="s">
        <v>373</v>
      </c>
      <c r="RJ10" s="1670"/>
      <c r="RK10" s="1673" t="s">
        <v>370</v>
      </c>
      <c r="RL10" s="1679"/>
      <c r="RM10" s="1673"/>
      <c r="RN10" s="1679"/>
      <c r="RO10" s="1658" t="s">
        <v>365</v>
      </c>
      <c r="RP10" s="1660"/>
      <c r="RQ10" s="1694" t="s">
        <v>362</v>
      </c>
      <c r="RR10" s="1695"/>
      <c r="RS10" s="1658" t="s">
        <v>359</v>
      </c>
      <c r="RT10" s="1660"/>
      <c r="RU10" s="1658" t="s">
        <v>356</v>
      </c>
      <c r="RV10" s="1660"/>
      <c r="RW10" s="1658" t="s">
        <v>567</v>
      </c>
      <c r="RX10" s="1660"/>
      <c r="RY10" s="1691" t="s">
        <v>353</v>
      </c>
      <c r="RZ10" s="1692"/>
      <c r="SA10" s="1692"/>
      <c r="SB10" s="1692"/>
      <c r="SC10" s="1692"/>
      <c r="SD10" s="1692"/>
      <c r="SE10" s="1692"/>
      <c r="SF10" s="1692"/>
      <c r="SG10" s="1726"/>
      <c r="SH10" s="1724"/>
      <c r="SI10" s="1658" t="s">
        <v>863</v>
      </c>
      <c r="SJ10" s="1659"/>
      <c r="SK10" s="1659"/>
      <c r="SL10" s="1659"/>
      <c r="SM10" s="1659"/>
      <c r="SN10" s="1660"/>
      <c r="SO10" s="1658" t="s">
        <v>743</v>
      </c>
      <c r="SP10" s="1659"/>
      <c r="SQ10" s="1659"/>
      <c r="SR10" s="1660"/>
      <c r="SS10" s="1764"/>
      <c r="ST10" s="1765"/>
      <c r="SU10" s="1765"/>
      <c r="SV10" s="1766"/>
      <c r="SW10" s="1685" t="s">
        <v>744</v>
      </c>
      <c r="SX10" s="1687"/>
      <c r="SY10" s="1685" t="s">
        <v>745</v>
      </c>
      <c r="SZ10" s="1687"/>
      <c r="TA10" s="1658" t="s">
        <v>544</v>
      </c>
      <c r="TB10" s="1659"/>
      <c r="TC10" s="1659"/>
      <c r="TD10" s="1660"/>
      <c r="TE10" s="1743"/>
      <c r="TF10" s="1744"/>
      <c r="TG10" s="1744"/>
      <c r="TH10" s="1745"/>
      <c r="TI10" s="1688" t="s">
        <v>545</v>
      </c>
      <c r="TJ10" s="1689"/>
      <c r="TK10" s="1688" t="s">
        <v>546</v>
      </c>
      <c r="TL10" s="1690"/>
      <c r="TM10" s="1671" t="s">
        <v>757</v>
      </c>
      <c r="TN10" s="1672"/>
      <c r="TO10" s="1672"/>
      <c r="TP10" s="1678"/>
      <c r="TQ10" s="1743"/>
      <c r="TR10" s="1744"/>
      <c r="TS10" s="1744"/>
      <c r="TT10" s="1745"/>
      <c r="TU10" s="1688" t="s">
        <v>754</v>
      </c>
      <c r="TV10" s="1689"/>
      <c r="TW10" s="1688" t="s">
        <v>755</v>
      </c>
      <c r="TX10" s="1690"/>
      <c r="TY10" s="1755" t="s">
        <v>908</v>
      </c>
      <c r="TZ10" s="1767"/>
      <c r="UA10" s="1767"/>
      <c r="UB10" s="1767"/>
      <c r="UC10" s="1767"/>
      <c r="UD10" s="1756"/>
      <c r="UE10" s="1673"/>
      <c r="UF10" s="1674"/>
      <c r="UG10" s="1674"/>
      <c r="UH10" s="1674"/>
      <c r="UI10" s="1674"/>
      <c r="UJ10" s="1679"/>
      <c r="UK10" s="1685" t="s">
        <v>832</v>
      </c>
      <c r="UL10" s="1687"/>
      <c r="UM10" s="1685" t="s">
        <v>833</v>
      </c>
      <c r="UN10" s="1687"/>
      <c r="UO10" s="1658" t="s">
        <v>585</v>
      </c>
      <c r="UP10" s="1659"/>
      <c r="UQ10" s="1659"/>
      <c r="UR10" s="1659"/>
      <c r="US10" s="1659"/>
      <c r="UT10" s="1660"/>
      <c r="UU10" s="1658" t="s">
        <v>591</v>
      </c>
      <c r="UV10" s="1659"/>
      <c r="UW10" s="1659"/>
      <c r="UX10" s="1659"/>
      <c r="UY10" s="1659"/>
      <c r="UZ10" s="1660"/>
      <c r="VA10" s="1658" t="s">
        <v>349</v>
      </c>
      <c r="VB10" s="1659"/>
      <c r="VC10" s="1659"/>
      <c r="VD10" s="1659"/>
      <c r="VE10" s="1659"/>
      <c r="VF10" s="1659"/>
      <c r="VG10" s="1659"/>
      <c r="VH10" s="1659"/>
      <c r="VI10" s="1673"/>
      <c r="VJ10" s="1674"/>
      <c r="VK10" s="1674"/>
      <c r="VL10" s="1674"/>
      <c r="VM10" s="1675" t="s">
        <v>346</v>
      </c>
      <c r="VN10" s="1676"/>
      <c r="VO10" s="1676"/>
      <c r="VP10" s="1676"/>
      <c r="VQ10" s="1675" t="s">
        <v>347</v>
      </c>
      <c r="VR10" s="1676"/>
      <c r="VS10" s="1676"/>
      <c r="VT10" s="1676"/>
      <c r="VU10" s="1724"/>
      <c r="VV10" s="1724"/>
      <c r="VW10" s="1755" t="s">
        <v>68</v>
      </c>
      <c r="VX10" s="1756"/>
      <c r="VY10" s="1743"/>
      <c r="VZ10" s="1745"/>
      <c r="WA10" s="1688" t="s">
        <v>71</v>
      </c>
      <c r="WB10" s="1690"/>
      <c r="WC10" s="1688" t="s">
        <v>72</v>
      </c>
      <c r="WD10" s="1690"/>
      <c r="WE10" s="1751" t="s">
        <v>70</v>
      </c>
      <c r="WF10" s="1752"/>
      <c r="WG10" s="1743"/>
      <c r="WH10" s="1745"/>
      <c r="WI10" s="1688" t="s">
        <v>66</v>
      </c>
      <c r="WJ10" s="1690"/>
      <c r="WK10" s="1688" t="s">
        <v>67</v>
      </c>
      <c r="WL10" s="1690"/>
      <c r="WO10" s="72"/>
    </row>
    <row r="11" spans="1:613" s="670" customFormat="1" ht="25.5" customHeight="1" thickBot="1" x14ac:dyDescent="0.3">
      <c r="A11" s="1725"/>
      <c r="B11" s="657" t="s">
        <v>156</v>
      </c>
      <c r="C11" s="1127" t="s">
        <v>157</v>
      </c>
      <c r="D11" s="1724"/>
      <c r="E11" s="1724"/>
      <c r="F11" s="659" t="s">
        <v>156</v>
      </c>
      <c r="G11" s="1022" t="s">
        <v>157</v>
      </c>
      <c r="H11" s="1022" t="s">
        <v>156</v>
      </c>
      <c r="I11" s="1021" t="s">
        <v>157</v>
      </c>
      <c r="J11" s="667" t="s">
        <v>156</v>
      </c>
      <c r="K11" s="658" t="s">
        <v>157</v>
      </c>
      <c r="L11" s="667" t="s">
        <v>156</v>
      </c>
      <c r="M11" s="658" t="s">
        <v>157</v>
      </c>
      <c r="N11" s="659" t="s">
        <v>156</v>
      </c>
      <c r="O11" s="1022" t="s">
        <v>157</v>
      </c>
      <c r="P11" s="1021" t="s">
        <v>156</v>
      </c>
      <c r="Q11" s="1022" t="s">
        <v>157</v>
      </c>
      <c r="R11" s="658" t="s">
        <v>156</v>
      </c>
      <c r="S11" s="667" t="s">
        <v>157</v>
      </c>
      <c r="T11" s="658" t="s">
        <v>156</v>
      </c>
      <c r="U11" s="667" t="s">
        <v>157</v>
      </c>
      <c r="V11" s="1021" t="s">
        <v>156</v>
      </c>
      <c r="W11" s="1022" t="s">
        <v>157</v>
      </c>
      <c r="X11" s="702" t="s">
        <v>193</v>
      </c>
      <c r="Y11" s="662" t="s">
        <v>194</v>
      </c>
      <c r="Z11" s="702" t="s">
        <v>195</v>
      </c>
      <c r="AA11" s="1022" t="s">
        <v>156</v>
      </c>
      <c r="AB11" s="656" t="s">
        <v>157</v>
      </c>
      <c r="AC11" s="662" t="s">
        <v>190</v>
      </c>
      <c r="AD11" s="702" t="s">
        <v>191</v>
      </c>
      <c r="AE11" s="667" t="s">
        <v>156</v>
      </c>
      <c r="AF11" s="658" t="s">
        <v>157</v>
      </c>
      <c r="AG11" s="667" t="s">
        <v>156</v>
      </c>
      <c r="AH11" s="783" t="s">
        <v>157</v>
      </c>
      <c r="AI11" s="1725"/>
      <c r="AJ11" s="1673"/>
      <c r="AK11" s="1196" t="s">
        <v>156</v>
      </c>
      <c r="AL11" s="678" t="s">
        <v>244</v>
      </c>
      <c r="AM11" s="668" t="s">
        <v>206</v>
      </c>
      <c r="AN11" s="702" t="s">
        <v>322</v>
      </c>
      <c r="AO11" s="764" t="s">
        <v>698</v>
      </c>
      <c r="AP11" s="659" t="s">
        <v>157</v>
      </c>
      <c r="AQ11" s="672" t="s">
        <v>244</v>
      </c>
      <c r="AR11" s="664" t="s">
        <v>206</v>
      </c>
      <c r="AS11" s="1082" t="s">
        <v>322</v>
      </c>
      <c r="AT11" s="764" t="s">
        <v>698</v>
      </c>
      <c r="AU11" s="1198" t="s">
        <v>156</v>
      </c>
      <c r="AV11" s="1067" t="s">
        <v>244</v>
      </c>
      <c r="AW11" s="701" t="s">
        <v>206</v>
      </c>
      <c r="AX11" s="823" t="s">
        <v>698</v>
      </c>
      <c r="AY11" s="1198" t="s">
        <v>157</v>
      </c>
      <c r="AZ11" s="678" t="s">
        <v>244</v>
      </c>
      <c r="BA11" s="668" t="s">
        <v>206</v>
      </c>
      <c r="BB11" s="823" t="s">
        <v>698</v>
      </c>
      <c r="BC11" s="663" t="s">
        <v>156</v>
      </c>
      <c r="BD11" s="795" t="s">
        <v>244</v>
      </c>
      <c r="BE11" s="935" t="s">
        <v>206</v>
      </c>
      <c r="BF11" s="764" t="s">
        <v>698</v>
      </c>
      <c r="BG11" s="663" t="s">
        <v>157</v>
      </c>
      <c r="BH11" s="678" t="s">
        <v>244</v>
      </c>
      <c r="BI11" s="939" t="s">
        <v>206</v>
      </c>
      <c r="BJ11" s="764" t="s">
        <v>698</v>
      </c>
      <c r="BK11" s="663" t="s">
        <v>156</v>
      </c>
      <c r="BL11" s="795" t="s">
        <v>244</v>
      </c>
      <c r="BM11" s="701" t="s">
        <v>206</v>
      </c>
      <c r="BN11" s="934" t="s">
        <v>698</v>
      </c>
      <c r="BO11" s="663" t="s">
        <v>157</v>
      </c>
      <c r="BP11" s="795" t="s">
        <v>244</v>
      </c>
      <c r="BQ11" s="668" t="s">
        <v>206</v>
      </c>
      <c r="BR11" s="823" t="s">
        <v>698</v>
      </c>
      <c r="BS11" s="659" t="s">
        <v>156</v>
      </c>
      <c r="BT11" s="1069" t="s">
        <v>208</v>
      </c>
      <c r="BU11" s="664" t="s">
        <v>219</v>
      </c>
      <c r="BV11" s="666" t="s">
        <v>703</v>
      </c>
      <c r="BW11" s="1175" t="s">
        <v>157</v>
      </c>
      <c r="BX11" s="668" t="s">
        <v>208</v>
      </c>
      <c r="BY11" s="668" t="s">
        <v>219</v>
      </c>
      <c r="BZ11" s="666" t="s">
        <v>703</v>
      </c>
      <c r="CA11" s="1175" t="s">
        <v>156</v>
      </c>
      <c r="CB11" s="665" t="s">
        <v>208</v>
      </c>
      <c r="CC11" s="668" t="s">
        <v>219</v>
      </c>
      <c r="CD11" s="666" t="s">
        <v>703</v>
      </c>
      <c r="CE11" s="1175" t="s">
        <v>157</v>
      </c>
      <c r="CF11" s="668" t="s">
        <v>208</v>
      </c>
      <c r="CG11" s="669" t="s">
        <v>219</v>
      </c>
      <c r="CH11" s="666" t="s">
        <v>703</v>
      </c>
      <c r="CI11" s="1104" t="s">
        <v>156</v>
      </c>
      <c r="CJ11" s="667" t="s">
        <v>157</v>
      </c>
      <c r="CK11" s="658" t="s">
        <v>156</v>
      </c>
      <c r="CL11" s="667" t="s">
        <v>157</v>
      </c>
      <c r="CM11" s="659" t="s">
        <v>156</v>
      </c>
      <c r="CN11" s="718" t="s">
        <v>825</v>
      </c>
      <c r="CO11" s="1455" t="s">
        <v>157</v>
      </c>
      <c r="CP11" s="718" t="s">
        <v>825</v>
      </c>
      <c r="CQ11" s="1454" t="s">
        <v>156</v>
      </c>
      <c r="CR11" s="872" t="s">
        <v>157</v>
      </c>
      <c r="CS11" s="656" t="s">
        <v>156</v>
      </c>
      <c r="CT11" s="1057" t="s">
        <v>157</v>
      </c>
      <c r="CU11" s="667" t="s">
        <v>156</v>
      </c>
      <c r="CV11" s="658" t="s">
        <v>157</v>
      </c>
      <c r="CW11" s="660" t="s">
        <v>156</v>
      </c>
      <c r="CX11" s="658" t="s">
        <v>157</v>
      </c>
      <c r="CY11" s="1169" t="s">
        <v>156</v>
      </c>
      <c r="CZ11" s="1171" t="s">
        <v>157</v>
      </c>
      <c r="DA11" s="1170" t="s">
        <v>156</v>
      </c>
      <c r="DB11" s="1056" t="s">
        <v>157</v>
      </c>
      <c r="DC11" s="1096" t="s">
        <v>156</v>
      </c>
      <c r="DD11" s="660" t="s">
        <v>157</v>
      </c>
      <c r="DE11" s="1097" t="s">
        <v>156</v>
      </c>
      <c r="DF11" s="660" t="s">
        <v>157</v>
      </c>
      <c r="DG11" s="1258" t="s">
        <v>156</v>
      </c>
      <c r="DH11" s="1084" t="s">
        <v>577</v>
      </c>
      <c r="DI11" s="1085" t="s">
        <v>578</v>
      </c>
      <c r="DJ11" s="659" t="s">
        <v>157</v>
      </c>
      <c r="DK11" s="1084" t="s">
        <v>577</v>
      </c>
      <c r="DL11" s="1085" t="s">
        <v>578</v>
      </c>
      <c r="DM11" s="1060" t="s">
        <v>156</v>
      </c>
      <c r="DN11" s="934" t="s">
        <v>312</v>
      </c>
      <c r="DO11" s="934" t="s">
        <v>333</v>
      </c>
      <c r="DP11" s="837" t="s">
        <v>334</v>
      </c>
      <c r="DQ11" s="764" t="s">
        <v>257</v>
      </c>
      <c r="DR11" s="838" t="s">
        <v>258</v>
      </c>
      <c r="DS11" s="764" t="s">
        <v>288</v>
      </c>
      <c r="DT11" s="938" t="s">
        <v>300</v>
      </c>
      <c r="DU11" s="1171" t="s">
        <v>157</v>
      </c>
      <c r="DV11" s="823" t="s">
        <v>312</v>
      </c>
      <c r="DW11" s="764" t="s">
        <v>333</v>
      </c>
      <c r="DX11" s="837" t="s">
        <v>334</v>
      </c>
      <c r="DY11" s="764" t="s">
        <v>257</v>
      </c>
      <c r="DZ11" s="837" t="s">
        <v>258</v>
      </c>
      <c r="EA11" s="823" t="s">
        <v>288</v>
      </c>
      <c r="EB11" s="934" t="s">
        <v>300</v>
      </c>
      <c r="EC11" s="1080" t="s">
        <v>156</v>
      </c>
      <c r="ED11" s="1084" t="s">
        <v>429</v>
      </c>
      <c r="EE11" s="1085" t="s">
        <v>430</v>
      </c>
      <c r="EF11" s="659" t="s">
        <v>157</v>
      </c>
      <c r="EG11" s="1084" t="s">
        <v>429</v>
      </c>
      <c r="EH11" s="1123" t="s">
        <v>430</v>
      </c>
      <c r="EI11" s="1122" t="s">
        <v>156</v>
      </c>
      <c r="EJ11" s="705" t="s">
        <v>447</v>
      </c>
      <c r="EK11" s="718" t="s">
        <v>449</v>
      </c>
      <c r="EL11" s="702" t="s">
        <v>484</v>
      </c>
      <c r="EM11" s="718" t="s">
        <v>925</v>
      </c>
      <c r="EN11" s="659" t="s">
        <v>157</v>
      </c>
      <c r="EO11" s="705" t="s">
        <v>447</v>
      </c>
      <c r="EP11" s="718" t="s">
        <v>449</v>
      </c>
      <c r="EQ11" s="662" t="s">
        <v>484</v>
      </c>
      <c r="ER11" s="718" t="s">
        <v>925</v>
      </c>
      <c r="ES11" s="1145" t="s">
        <v>156</v>
      </c>
      <c r="ET11" s="1084" t="s">
        <v>923</v>
      </c>
      <c r="EU11" s="1085" t="s">
        <v>924</v>
      </c>
      <c r="EV11" s="659" t="s">
        <v>157</v>
      </c>
      <c r="EW11" s="1084" t="s">
        <v>923</v>
      </c>
      <c r="EX11" s="1085" t="s">
        <v>924</v>
      </c>
      <c r="EY11" s="1145" t="s">
        <v>156</v>
      </c>
      <c r="EZ11" s="1084" t="s">
        <v>473</v>
      </c>
      <c r="FA11" s="1085" t="s">
        <v>474</v>
      </c>
      <c r="FB11" s="659" t="s">
        <v>157</v>
      </c>
      <c r="FC11" s="1084" t="s">
        <v>473</v>
      </c>
      <c r="FD11" s="1085" t="s">
        <v>474</v>
      </c>
      <c r="FE11" s="1119" t="s">
        <v>156</v>
      </c>
      <c r="FF11" s="1084" t="s">
        <v>438</v>
      </c>
      <c r="FG11" s="1085" t="s">
        <v>439</v>
      </c>
      <c r="FH11" s="659" t="s">
        <v>157</v>
      </c>
      <c r="FI11" s="1084" t="s">
        <v>438</v>
      </c>
      <c r="FJ11" s="1123" t="s">
        <v>439</v>
      </c>
      <c r="FK11" s="1389" t="s">
        <v>156</v>
      </c>
      <c r="FL11" s="1084" t="s">
        <v>469</v>
      </c>
      <c r="FM11" s="1085" t="s">
        <v>470</v>
      </c>
      <c r="FN11" s="659" t="s">
        <v>157</v>
      </c>
      <c r="FO11" s="1084" t="s">
        <v>469</v>
      </c>
      <c r="FP11" s="1123" t="s">
        <v>470</v>
      </c>
      <c r="FQ11" s="1389" t="s">
        <v>156</v>
      </c>
      <c r="FR11" s="1084" t="s">
        <v>469</v>
      </c>
      <c r="FS11" s="1085" t="s">
        <v>470</v>
      </c>
      <c r="FT11" s="659" t="s">
        <v>157</v>
      </c>
      <c r="FU11" s="1084" t="s">
        <v>469</v>
      </c>
      <c r="FV11" s="1123" t="s">
        <v>470</v>
      </c>
      <c r="FW11" s="1390" t="s">
        <v>156</v>
      </c>
      <c r="FX11" s="663" t="s">
        <v>157</v>
      </c>
      <c r="FY11" s="1390" t="s">
        <v>156</v>
      </c>
      <c r="FZ11" s="663" t="s">
        <v>157</v>
      </c>
      <c r="GA11" s="1389" t="s">
        <v>156</v>
      </c>
      <c r="GB11" s="1084" t="s">
        <v>789</v>
      </c>
      <c r="GC11" s="1255" t="s">
        <v>790</v>
      </c>
      <c r="GD11" s="659" t="s">
        <v>157</v>
      </c>
      <c r="GE11" s="1084" t="s">
        <v>789</v>
      </c>
      <c r="GF11" s="1255" t="s">
        <v>790</v>
      </c>
      <c r="GG11" s="1243" t="s">
        <v>156</v>
      </c>
      <c r="GH11" s="1084" t="s">
        <v>775</v>
      </c>
      <c r="GI11" s="1255" t="s">
        <v>776</v>
      </c>
      <c r="GJ11" s="1084" t="s">
        <v>927</v>
      </c>
      <c r="GK11" s="1085" t="s">
        <v>928</v>
      </c>
      <c r="GL11" s="659" t="s">
        <v>157</v>
      </c>
      <c r="GM11" s="1084" t="s">
        <v>775</v>
      </c>
      <c r="GN11" s="1255" t="s">
        <v>776</v>
      </c>
      <c r="GO11" s="1084" t="s">
        <v>927</v>
      </c>
      <c r="GP11" s="1085" t="s">
        <v>928</v>
      </c>
      <c r="GQ11" s="1243" t="s">
        <v>156</v>
      </c>
      <c r="GR11" s="1084" t="s">
        <v>775</v>
      </c>
      <c r="GS11" s="1255" t="s">
        <v>776</v>
      </c>
      <c r="GT11" s="1084" t="s">
        <v>927</v>
      </c>
      <c r="GU11" s="1085" t="s">
        <v>928</v>
      </c>
      <c r="GV11" s="659" t="s">
        <v>157</v>
      </c>
      <c r="GW11" s="1084" t="s">
        <v>775</v>
      </c>
      <c r="GX11" s="1255" t="s">
        <v>776</v>
      </c>
      <c r="GY11" s="1084" t="s">
        <v>927</v>
      </c>
      <c r="GZ11" s="1085" t="s">
        <v>928</v>
      </c>
      <c r="HA11" s="1246" t="s">
        <v>156</v>
      </c>
      <c r="HB11" s="1084" t="s">
        <v>775</v>
      </c>
      <c r="HC11" s="1255" t="s">
        <v>776</v>
      </c>
      <c r="HD11" s="1084" t="s">
        <v>927</v>
      </c>
      <c r="HE11" s="1085" t="s">
        <v>928</v>
      </c>
      <c r="HF11" s="663" t="s">
        <v>157</v>
      </c>
      <c r="HG11" s="1084" t="s">
        <v>775</v>
      </c>
      <c r="HH11" s="1255" t="s">
        <v>776</v>
      </c>
      <c r="HI11" s="1084" t="s">
        <v>927</v>
      </c>
      <c r="HJ11" s="1085" t="s">
        <v>928</v>
      </c>
      <c r="HK11" s="1246" t="s">
        <v>156</v>
      </c>
      <c r="HL11" s="1084" t="s">
        <v>775</v>
      </c>
      <c r="HM11" s="1255" t="s">
        <v>776</v>
      </c>
      <c r="HN11" s="1084" t="s">
        <v>571</v>
      </c>
      <c r="HO11" s="1085" t="s">
        <v>572</v>
      </c>
      <c r="HP11" s="663" t="s">
        <v>157</v>
      </c>
      <c r="HQ11" s="1084" t="s">
        <v>775</v>
      </c>
      <c r="HR11" s="1255" t="s">
        <v>776</v>
      </c>
      <c r="HS11" s="1084" t="s">
        <v>571</v>
      </c>
      <c r="HT11" s="1255" t="s">
        <v>572</v>
      </c>
      <c r="HU11" s="1475" t="s">
        <v>156</v>
      </c>
      <c r="HV11" s="676" t="s">
        <v>856</v>
      </c>
      <c r="HW11" s="827" t="s">
        <v>857</v>
      </c>
      <c r="HX11" s="1477" t="s">
        <v>157</v>
      </c>
      <c r="HY11" s="678" t="s">
        <v>856</v>
      </c>
      <c r="HZ11" s="840" t="s">
        <v>857</v>
      </c>
      <c r="IA11" s="1588" t="s">
        <v>156</v>
      </c>
      <c r="IB11" s="1067" t="s">
        <v>902</v>
      </c>
      <c r="IC11" s="1597" t="s">
        <v>903</v>
      </c>
      <c r="ID11" s="1589" t="s">
        <v>157</v>
      </c>
      <c r="IE11" s="678" t="s">
        <v>902</v>
      </c>
      <c r="IF11" s="840" t="s">
        <v>903</v>
      </c>
      <c r="IG11" s="869" t="s">
        <v>156</v>
      </c>
      <c r="IH11" s="676" t="s">
        <v>301</v>
      </c>
      <c r="II11" s="827" t="s">
        <v>302</v>
      </c>
      <c r="IJ11" s="1058" t="s">
        <v>157</v>
      </c>
      <c r="IK11" s="678" t="s">
        <v>301</v>
      </c>
      <c r="IL11" s="840" t="s">
        <v>302</v>
      </c>
      <c r="IM11" s="868" t="s">
        <v>156</v>
      </c>
      <c r="IN11" s="676" t="s">
        <v>298</v>
      </c>
      <c r="IO11" s="827" t="s">
        <v>299</v>
      </c>
      <c r="IP11" s="659" t="s">
        <v>157</v>
      </c>
      <c r="IQ11" s="676" t="s">
        <v>298</v>
      </c>
      <c r="IR11" s="827" t="s">
        <v>299</v>
      </c>
      <c r="IS11" s="659" t="s">
        <v>156</v>
      </c>
      <c r="IT11" s="676" t="s">
        <v>298</v>
      </c>
      <c r="IU11" s="827" t="s">
        <v>299</v>
      </c>
      <c r="IV11" s="659" t="s">
        <v>157</v>
      </c>
      <c r="IW11" s="676" t="s">
        <v>298</v>
      </c>
      <c r="IX11" s="827" t="s">
        <v>299</v>
      </c>
      <c r="IY11" s="660" t="s">
        <v>156</v>
      </c>
      <c r="IZ11" s="676" t="s">
        <v>298</v>
      </c>
      <c r="JA11" s="827" t="s">
        <v>299</v>
      </c>
      <c r="JB11" s="870" t="s">
        <v>157</v>
      </c>
      <c r="JC11" s="676" t="s">
        <v>298</v>
      </c>
      <c r="JD11" s="827" t="s">
        <v>299</v>
      </c>
      <c r="JE11" s="660" t="s">
        <v>156</v>
      </c>
      <c r="JF11" s="676" t="s">
        <v>298</v>
      </c>
      <c r="JG11" s="827" t="s">
        <v>299</v>
      </c>
      <c r="JH11" s="871" t="s">
        <v>157</v>
      </c>
      <c r="JI11" s="676" t="s">
        <v>293</v>
      </c>
      <c r="JJ11" s="827" t="s">
        <v>294</v>
      </c>
      <c r="JK11" s="659" t="s">
        <v>156</v>
      </c>
      <c r="JL11" s="826" t="s">
        <v>555</v>
      </c>
      <c r="JM11" s="827" t="s">
        <v>556</v>
      </c>
      <c r="JN11" s="659" t="s">
        <v>157</v>
      </c>
      <c r="JO11" s="826" t="s">
        <v>555</v>
      </c>
      <c r="JP11" s="827" t="s">
        <v>556</v>
      </c>
      <c r="JQ11" s="867" t="s">
        <v>156</v>
      </c>
      <c r="JR11" s="826" t="s">
        <v>434</v>
      </c>
      <c r="JS11" s="827" t="s">
        <v>435</v>
      </c>
      <c r="JT11" s="676" t="s">
        <v>259</v>
      </c>
      <c r="JU11" s="828" t="s">
        <v>260</v>
      </c>
      <c r="JV11" s="659" t="s">
        <v>157</v>
      </c>
      <c r="JW11" s="826" t="s">
        <v>434</v>
      </c>
      <c r="JX11" s="827" t="s">
        <v>435</v>
      </c>
      <c r="JY11" s="676" t="s">
        <v>259</v>
      </c>
      <c r="JZ11" s="839" t="s">
        <v>260</v>
      </c>
      <c r="KA11" s="868" t="s">
        <v>156</v>
      </c>
      <c r="KB11" s="826" t="s">
        <v>434</v>
      </c>
      <c r="KC11" s="827" t="s">
        <v>435</v>
      </c>
      <c r="KD11" s="676" t="s">
        <v>259</v>
      </c>
      <c r="KE11" s="828" t="s">
        <v>260</v>
      </c>
      <c r="KF11" s="659" t="s">
        <v>157</v>
      </c>
      <c r="KG11" s="826" t="s">
        <v>434</v>
      </c>
      <c r="KH11" s="827" t="s">
        <v>435</v>
      </c>
      <c r="KI11" s="894" t="s">
        <v>259</v>
      </c>
      <c r="KJ11" s="827" t="s">
        <v>260</v>
      </c>
      <c r="KK11" s="870" t="s">
        <v>156</v>
      </c>
      <c r="KL11" s="826" t="s">
        <v>434</v>
      </c>
      <c r="KM11" s="827" t="s">
        <v>435</v>
      </c>
      <c r="KN11" s="894" t="s">
        <v>259</v>
      </c>
      <c r="KO11" s="827" t="s">
        <v>260</v>
      </c>
      <c r="KP11" s="870" t="s">
        <v>157</v>
      </c>
      <c r="KQ11" s="826" t="s">
        <v>434</v>
      </c>
      <c r="KR11" s="827" t="s">
        <v>435</v>
      </c>
      <c r="KS11" s="676" t="s">
        <v>259</v>
      </c>
      <c r="KT11" s="828" t="s">
        <v>260</v>
      </c>
      <c r="KU11" s="660" t="s">
        <v>156</v>
      </c>
      <c r="KV11" s="826" t="s">
        <v>434</v>
      </c>
      <c r="KW11" s="827" t="s">
        <v>435</v>
      </c>
      <c r="KX11" s="1089" t="s">
        <v>259</v>
      </c>
      <c r="KY11" s="1090" t="s">
        <v>260</v>
      </c>
      <c r="KZ11" s="660" t="s">
        <v>157</v>
      </c>
      <c r="LA11" s="826" t="s">
        <v>434</v>
      </c>
      <c r="LB11" s="827" t="s">
        <v>435</v>
      </c>
      <c r="LC11" s="1089" t="s">
        <v>259</v>
      </c>
      <c r="LD11" s="1090" t="s">
        <v>260</v>
      </c>
      <c r="LE11" s="1629" t="s">
        <v>156</v>
      </c>
      <c r="LF11" s="666" t="s">
        <v>424</v>
      </c>
      <c r="LG11" s="824" t="s">
        <v>425</v>
      </c>
      <c r="LH11" s="666" t="s">
        <v>728</v>
      </c>
      <c r="LI11" s="824" t="s">
        <v>732</v>
      </c>
      <c r="LJ11" s="666" t="s">
        <v>793</v>
      </c>
      <c r="LK11" s="659" t="s">
        <v>157</v>
      </c>
      <c r="LL11" s="666" t="s">
        <v>424</v>
      </c>
      <c r="LM11" s="824" t="s">
        <v>425</v>
      </c>
      <c r="LN11" s="666" t="s">
        <v>728</v>
      </c>
      <c r="LO11" s="824" t="s">
        <v>732</v>
      </c>
      <c r="LP11" s="666" t="s">
        <v>793</v>
      </c>
      <c r="LQ11" s="867" t="s">
        <v>156</v>
      </c>
      <c r="LR11" s="662" t="s">
        <v>267</v>
      </c>
      <c r="LS11" s="1082" t="s">
        <v>864</v>
      </c>
      <c r="LT11" s="662" t="s">
        <v>485</v>
      </c>
      <c r="LU11" s="718" t="s">
        <v>487</v>
      </c>
      <c r="LV11" s="659" t="s">
        <v>157</v>
      </c>
      <c r="LW11" s="661" t="s">
        <v>267</v>
      </c>
      <c r="LX11" s="1082" t="s">
        <v>864</v>
      </c>
      <c r="LY11" s="661" t="s">
        <v>485</v>
      </c>
      <c r="LZ11" s="704" t="s">
        <v>487</v>
      </c>
      <c r="MA11" s="659" t="s">
        <v>156</v>
      </c>
      <c r="MB11" s="664" t="s">
        <v>268</v>
      </c>
      <c r="MC11" s="664" t="s">
        <v>252</v>
      </c>
      <c r="MD11" s="895" t="s">
        <v>270</v>
      </c>
      <c r="ME11" s="659" t="s">
        <v>157</v>
      </c>
      <c r="MF11" s="664" t="s">
        <v>268</v>
      </c>
      <c r="MG11" s="664" t="s">
        <v>252</v>
      </c>
      <c r="MH11" s="895" t="s">
        <v>270</v>
      </c>
      <c r="MI11" s="1095" t="s">
        <v>156</v>
      </c>
      <c r="MJ11" s="663" t="s">
        <v>157</v>
      </c>
      <c r="MK11" s="1095" t="s">
        <v>156</v>
      </c>
      <c r="ML11" s="663" t="s">
        <v>157</v>
      </c>
      <c r="MM11" s="659" t="s">
        <v>156</v>
      </c>
      <c r="MN11" s="894" t="s">
        <v>613</v>
      </c>
      <c r="MO11" s="827" t="s">
        <v>614</v>
      </c>
      <c r="MP11" s="676" t="s">
        <v>708</v>
      </c>
      <c r="MQ11" s="659" t="s">
        <v>157</v>
      </c>
      <c r="MR11" s="894" t="s">
        <v>613</v>
      </c>
      <c r="MS11" s="827" t="s">
        <v>614</v>
      </c>
      <c r="MT11" s="676" t="s">
        <v>708</v>
      </c>
      <c r="MU11" s="659" t="s">
        <v>156</v>
      </c>
      <c r="MV11" s="894" t="s">
        <v>613</v>
      </c>
      <c r="MW11" s="827" t="s">
        <v>614</v>
      </c>
      <c r="MX11" s="676" t="s">
        <v>708</v>
      </c>
      <c r="MY11" s="868" t="s">
        <v>157</v>
      </c>
      <c r="MZ11" s="676" t="s">
        <v>613</v>
      </c>
      <c r="NA11" s="827" t="s">
        <v>614</v>
      </c>
      <c r="NB11" s="676" t="s">
        <v>708</v>
      </c>
      <c r="NC11" s="660" t="s">
        <v>156</v>
      </c>
      <c r="ND11" s="894" t="s">
        <v>613</v>
      </c>
      <c r="NE11" s="827" t="s">
        <v>614</v>
      </c>
      <c r="NF11" s="676" t="s">
        <v>708</v>
      </c>
      <c r="NG11" s="660" t="s">
        <v>157</v>
      </c>
      <c r="NH11" s="894" t="s">
        <v>613</v>
      </c>
      <c r="NI11" s="827" t="s">
        <v>614</v>
      </c>
      <c r="NJ11" s="676" t="s">
        <v>708</v>
      </c>
      <c r="NK11" s="1234" t="s">
        <v>156</v>
      </c>
      <c r="NL11" s="676" t="s">
        <v>613</v>
      </c>
      <c r="NM11" s="827" t="s">
        <v>614</v>
      </c>
      <c r="NN11" s="676" t="s">
        <v>708</v>
      </c>
      <c r="NO11" s="660" t="s">
        <v>157</v>
      </c>
      <c r="NP11" s="894" t="s">
        <v>613</v>
      </c>
      <c r="NQ11" s="827" t="s">
        <v>614</v>
      </c>
      <c r="NR11" s="676" t="s">
        <v>708</v>
      </c>
      <c r="NS11" s="1625" t="s">
        <v>507</v>
      </c>
      <c r="NT11" s="705" t="s">
        <v>624</v>
      </c>
      <c r="NU11" s="718" t="s">
        <v>649</v>
      </c>
      <c r="NV11" s="1625" t="s">
        <v>157</v>
      </c>
      <c r="NW11" s="662" t="s">
        <v>624</v>
      </c>
      <c r="NX11" s="800" t="s">
        <v>649</v>
      </c>
      <c r="NY11" s="1277" t="s">
        <v>507</v>
      </c>
      <c r="NZ11" s="705" t="s">
        <v>621</v>
      </c>
      <c r="OA11" s="718" t="s">
        <v>648</v>
      </c>
      <c r="OB11" s="662" t="s">
        <v>622</v>
      </c>
      <c r="OC11" s="800" t="s">
        <v>644</v>
      </c>
      <c r="OD11" s="702" t="s">
        <v>624</v>
      </c>
      <c r="OE11" s="718" t="s">
        <v>649</v>
      </c>
      <c r="OF11" s="1287" t="s">
        <v>157</v>
      </c>
      <c r="OG11" s="662" t="s">
        <v>621</v>
      </c>
      <c r="OH11" s="800" t="s">
        <v>648</v>
      </c>
      <c r="OI11" s="662" t="s">
        <v>622</v>
      </c>
      <c r="OJ11" s="800" t="s">
        <v>644</v>
      </c>
      <c r="OK11" s="662" t="s">
        <v>624</v>
      </c>
      <c r="OL11" s="800" t="s">
        <v>649</v>
      </c>
      <c r="OM11" s="864" t="s">
        <v>507</v>
      </c>
      <c r="ON11" s="705" t="s">
        <v>621</v>
      </c>
      <c r="OO11" s="718" t="s">
        <v>648</v>
      </c>
      <c r="OP11" s="662" t="s">
        <v>622</v>
      </c>
      <c r="OQ11" s="800" t="s">
        <v>644</v>
      </c>
      <c r="OR11" s="702" t="s">
        <v>624</v>
      </c>
      <c r="OS11" s="718" t="s">
        <v>649</v>
      </c>
      <c r="OT11" s="864" t="s">
        <v>157</v>
      </c>
      <c r="OU11" s="662" t="s">
        <v>621</v>
      </c>
      <c r="OV11" s="800" t="s">
        <v>648</v>
      </c>
      <c r="OW11" s="662" t="s">
        <v>622</v>
      </c>
      <c r="OX11" s="800" t="s">
        <v>644</v>
      </c>
      <c r="OY11" s="662" t="s">
        <v>624</v>
      </c>
      <c r="OZ11" s="800" t="s">
        <v>649</v>
      </c>
      <c r="PA11" s="864" t="s">
        <v>507</v>
      </c>
      <c r="PB11" s="662" t="s">
        <v>621</v>
      </c>
      <c r="PC11" s="800" t="s">
        <v>648</v>
      </c>
      <c r="PD11" s="705" t="s">
        <v>622</v>
      </c>
      <c r="PE11" s="718" t="s">
        <v>644</v>
      </c>
      <c r="PF11" s="662" t="s">
        <v>624</v>
      </c>
      <c r="PG11" s="800" t="s">
        <v>649</v>
      </c>
      <c r="PH11" s="864" t="s">
        <v>157</v>
      </c>
      <c r="PI11" s="662" t="s">
        <v>621</v>
      </c>
      <c r="PJ11" s="800" t="s">
        <v>648</v>
      </c>
      <c r="PK11" s="662" t="s">
        <v>622</v>
      </c>
      <c r="PL11" s="800" t="s">
        <v>644</v>
      </c>
      <c r="PM11" s="662" t="s">
        <v>624</v>
      </c>
      <c r="PN11" s="800" t="s">
        <v>649</v>
      </c>
      <c r="PO11" s="1145" t="s">
        <v>156</v>
      </c>
      <c r="PP11" s="1084" t="s">
        <v>478</v>
      </c>
      <c r="PQ11" s="1085" t="s">
        <v>479</v>
      </c>
      <c r="PR11" s="659" t="s">
        <v>157</v>
      </c>
      <c r="PS11" s="1084" t="s">
        <v>478</v>
      </c>
      <c r="PT11" s="1085" t="s">
        <v>479</v>
      </c>
      <c r="PU11" s="1292" t="s">
        <v>507</v>
      </c>
      <c r="PV11" s="705" t="s">
        <v>713</v>
      </c>
      <c r="PW11" s="1376" t="s">
        <v>714</v>
      </c>
      <c r="PX11" s="1625" t="s">
        <v>157</v>
      </c>
      <c r="PY11" s="705" t="s">
        <v>713</v>
      </c>
      <c r="PZ11" s="718" t="s">
        <v>714</v>
      </c>
      <c r="QA11" s="1278" t="s">
        <v>507</v>
      </c>
      <c r="QB11" s="705" t="s">
        <v>713</v>
      </c>
      <c r="QC11" s="718" t="s">
        <v>714</v>
      </c>
      <c r="QD11" s="1287" t="s">
        <v>157</v>
      </c>
      <c r="QE11" s="705" t="s">
        <v>713</v>
      </c>
      <c r="QF11" s="718" t="s">
        <v>714</v>
      </c>
      <c r="QG11" s="864" t="s">
        <v>507</v>
      </c>
      <c r="QH11" s="705" t="s">
        <v>713</v>
      </c>
      <c r="QI11" s="718" t="s">
        <v>714</v>
      </c>
      <c r="QJ11" s="864" t="s">
        <v>157</v>
      </c>
      <c r="QK11" s="705" t="s">
        <v>713</v>
      </c>
      <c r="QL11" s="718" t="s">
        <v>714</v>
      </c>
      <c r="QM11" s="864" t="s">
        <v>507</v>
      </c>
      <c r="QN11" s="705" t="s">
        <v>713</v>
      </c>
      <c r="QO11" s="718" t="s">
        <v>714</v>
      </c>
      <c r="QP11" s="864" t="s">
        <v>157</v>
      </c>
      <c r="QQ11" s="705" t="s">
        <v>713</v>
      </c>
      <c r="QR11" s="718" t="s">
        <v>714</v>
      </c>
      <c r="QS11" s="659" t="s">
        <v>156</v>
      </c>
      <c r="QT11" s="659" t="s">
        <v>157</v>
      </c>
      <c r="QU11" s="655" t="s">
        <v>156</v>
      </c>
      <c r="QV11" s="659" t="s">
        <v>157</v>
      </c>
      <c r="QW11" s="658" t="s">
        <v>156</v>
      </c>
      <c r="QX11" s="667" t="s">
        <v>157</v>
      </c>
      <c r="QY11" s="658" t="s">
        <v>156</v>
      </c>
      <c r="QZ11" s="667" t="s">
        <v>157</v>
      </c>
      <c r="RA11" s="1724"/>
      <c r="RB11" s="1749"/>
      <c r="RC11" s="1749"/>
      <c r="RD11" s="1724"/>
      <c r="RE11" s="1749"/>
      <c r="RF11" s="1749"/>
      <c r="RG11" s="873" t="s">
        <v>156</v>
      </c>
      <c r="RH11" s="235" t="s">
        <v>157</v>
      </c>
      <c r="RI11" s="235" t="s">
        <v>156</v>
      </c>
      <c r="RJ11" s="235" t="s">
        <v>157</v>
      </c>
      <c r="RK11" s="235" t="s">
        <v>156</v>
      </c>
      <c r="RL11" s="235" t="s">
        <v>157</v>
      </c>
      <c r="RM11" s="874" t="s">
        <v>156</v>
      </c>
      <c r="RN11" s="235" t="s">
        <v>157</v>
      </c>
      <c r="RO11" s="874" t="s">
        <v>156</v>
      </c>
      <c r="RP11" s="235" t="s">
        <v>157</v>
      </c>
      <c r="RQ11" s="873" t="s">
        <v>156</v>
      </c>
      <c r="RR11" s="235" t="s">
        <v>157</v>
      </c>
      <c r="RS11" s="874" t="s">
        <v>156</v>
      </c>
      <c r="RT11" s="235" t="s">
        <v>157</v>
      </c>
      <c r="RU11" s="236" t="s">
        <v>156</v>
      </c>
      <c r="RV11" s="235" t="s">
        <v>157</v>
      </c>
      <c r="RW11" s="236" t="s">
        <v>156</v>
      </c>
      <c r="RX11" s="235" t="s">
        <v>157</v>
      </c>
      <c r="RY11" s="235" t="s">
        <v>156</v>
      </c>
      <c r="RZ11" s="1165" t="s">
        <v>189</v>
      </c>
      <c r="SA11" s="759" t="s">
        <v>912</v>
      </c>
      <c r="SB11" s="1166" t="s">
        <v>188</v>
      </c>
      <c r="SC11" s="235" t="s">
        <v>157</v>
      </c>
      <c r="SD11" s="759" t="s">
        <v>189</v>
      </c>
      <c r="SE11" s="1650" t="s">
        <v>912</v>
      </c>
      <c r="SF11" s="960" t="s">
        <v>188</v>
      </c>
      <c r="SG11" s="1726"/>
      <c r="SH11" s="1724"/>
      <c r="SI11" s="235" t="s">
        <v>156</v>
      </c>
      <c r="SJ11" s="1165" t="s">
        <v>859</v>
      </c>
      <c r="SK11" s="1504" t="s">
        <v>859</v>
      </c>
      <c r="SL11" s="235" t="s">
        <v>157</v>
      </c>
      <c r="SM11" s="1165" t="s">
        <v>859</v>
      </c>
      <c r="SN11" s="1504" t="s">
        <v>859</v>
      </c>
      <c r="SO11" s="1325" t="s">
        <v>156</v>
      </c>
      <c r="SP11" s="944" t="s">
        <v>737</v>
      </c>
      <c r="SQ11" s="1325" t="s">
        <v>157</v>
      </c>
      <c r="SR11" s="944" t="s">
        <v>737</v>
      </c>
      <c r="SS11" s="1326" t="s">
        <v>156</v>
      </c>
      <c r="ST11" s="1348" t="s">
        <v>737</v>
      </c>
      <c r="SU11" s="1326" t="s">
        <v>157</v>
      </c>
      <c r="SV11" s="944" t="s">
        <v>737</v>
      </c>
      <c r="SW11" s="1352" t="s">
        <v>156</v>
      </c>
      <c r="SX11" s="1326" t="s">
        <v>157</v>
      </c>
      <c r="SY11" s="1353" t="s">
        <v>156</v>
      </c>
      <c r="SZ11" s="1326" t="s">
        <v>157</v>
      </c>
      <c r="TA11" s="233" t="s">
        <v>156</v>
      </c>
      <c r="TB11" s="1117" t="s">
        <v>407</v>
      </c>
      <c r="TC11" s="233" t="s">
        <v>157</v>
      </c>
      <c r="TD11" s="1102" t="s">
        <v>407</v>
      </c>
      <c r="TE11" s="236" t="s">
        <v>156</v>
      </c>
      <c r="TF11" s="1117" t="s">
        <v>407</v>
      </c>
      <c r="TG11" s="233" t="s">
        <v>157</v>
      </c>
      <c r="TH11" s="1102" t="s">
        <v>407</v>
      </c>
      <c r="TI11" s="297" t="s">
        <v>156</v>
      </c>
      <c r="TJ11" s="299" t="s">
        <v>157</v>
      </c>
      <c r="TK11" s="1217" t="s">
        <v>156</v>
      </c>
      <c r="TL11" s="299" t="s">
        <v>157</v>
      </c>
      <c r="TM11" s="233" t="s">
        <v>156</v>
      </c>
      <c r="TN11" s="1117" t="s">
        <v>747</v>
      </c>
      <c r="TO11" s="233" t="s">
        <v>157</v>
      </c>
      <c r="TP11" s="1102" t="s">
        <v>747</v>
      </c>
      <c r="TQ11" s="236" t="s">
        <v>156</v>
      </c>
      <c r="TR11" s="1117" t="s">
        <v>747</v>
      </c>
      <c r="TS11" s="233" t="s">
        <v>157</v>
      </c>
      <c r="TT11" s="1102" t="s">
        <v>747</v>
      </c>
      <c r="TU11" s="297" t="s">
        <v>156</v>
      </c>
      <c r="TV11" s="299" t="s">
        <v>157</v>
      </c>
      <c r="TW11" s="1217" t="s">
        <v>156</v>
      </c>
      <c r="TX11" s="299" t="s">
        <v>157</v>
      </c>
      <c r="TY11" s="233" t="s">
        <v>156</v>
      </c>
      <c r="TZ11" s="1496" t="s">
        <v>826</v>
      </c>
      <c r="UA11" s="1488" t="s">
        <v>827</v>
      </c>
      <c r="UB11" s="233" t="s">
        <v>157</v>
      </c>
      <c r="UC11" s="1496" t="s">
        <v>826</v>
      </c>
      <c r="UD11" s="1488" t="s">
        <v>827</v>
      </c>
      <c r="UE11" s="233" t="s">
        <v>156</v>
      </c>
      <c r="UF11" s="1496" t="s">
        <v>826</v>
      </c>
      <c r="UG11" s="1488" t="s">
        <v>827</v>
      </c>
      <c r="UH11" s="233" t="s">
        <v>157</v>
      </c>
      <c r="UI11" s="1482" t="s">
        <v>826</v>
      </c>
      <c r="UJ11" s="1488" t="s">
        <v>827</v>
      </c>
      <c r="UK11" s="1498" t="s">
        <v>156</v>
      </c>
      <c r="UL11" s="1492" t="s">
        <v>157</v>
      </c>
      <c r="UM11" s="1498" t="s">
        <v>156</v>
      </c>
      <c r="UN11" s="1492" t="s">
        <v>157</v>
      </c>
      <c r="UO11" s="235" t="s">
        <v>156</v>
      </c>
      <c r="UP11" s="1265" t="s">
        <v>586</v>
      </c>
      <c r="UQ11" s="1102" t="s">
        <v>587</v>
      </c>
      <c r="UR11" s="235" t="s">
        <v>157</v>
      </c>
      <c r="US11" s="1265" t="s">
        <v>586</v>
      </c>
      <c r="UT11" s="1102" t="s">
        <v>587</v>
      </c>
      <c r="UU11" s="235" t="s">
        <v>156</v>
      </c>
      <c r="UV11" s="1265" t="s">
        <v>592</v>
      </c>
      <c r="UW11" s="1102" t="s">
        <v>593</v>
      </c>
      <c r="UX11" s="235" t="s">
        <v>157</v>
      </c>
      <c r="UY11" s="1265" t="s">
        <v>592</v>
      </c>
      <c r="UZ11" s="1102" t="s">
        <v>593</v>
      </c>
      <c r="VA11" s="235" t="s">
        <v>156</v>
      </c>
      <c r="VB11" s="885" t="s">
        <v>412</v>
      </c>
      <c r="VC11" s="944" t="s">
        <v>412</v>
      </c>
      <c r="VD11" s="885" t="s">
        <v>410</v>
      </c>
      <c r="VE11" s="235" t="s">
        <v>157</v>
      </c>
      <c r="VF11" s="885" t="s">
        <v>412</v>
      </c>
      <c r="VG11" s="944" t="s">
        <v>412</v>
      </c>
      <c r="VH11" s="881" t="s">
        <v>410</v>
      </c>
      <c r="VI11" s="235" t="s">
        <v>156</v>
      </c>
      <c r="VJ11" s="455"/>
      <c r="VK11" s="235" t="s">
        <v>157</v>
      </c>
      <c r="VL11" s="455"/>
      <c r="VM11" s="298" t="s">
        <v>156</v>
      </c>
      <c r="VN11" s="455"/>
      <c r="VO11" s="298" t="s">
        <v>157</v>
      </c>
      <c r="VP11" s="455"/>
      <c r="VQ11" s="452" t="s">
        <v>156</v>
      </c>
      <c r="VR11" s="455"/>
      <c r="VS11" s="298" t="s">
        <v>157</v>
      </c>
      <c r="VT11" s="455"/>
      <c r="VU11" s="1725"/>
      <c r="VV11" s="1725"/>
      <c r="VW11" s="234" t="s">
        <v>156</v>
      </c>
      <c r="VX11" s="235" t="s">
        <v>157</v>
      </c>
      <c r="VY11" s="234" t="s">
        <v>156</v>
      </c>
      <c r="VZ11" s="235" t="s">
        <v>157</v>
      </c>
      <c r="WA11" s="297" t="s">
        <v>156</v>
      </c>
      <c r="WB11" s="299" t="s">
        <v>157</v>
      </c>
      <c r="WC11" s="297" t="s">
        <v>156</v>
      </c>
      <c r="WD11" s="298" t="s">
        <v>157</v>
      </c>
      <c r="WE11" s="219" t="s">
        <v>156</v>
      </c>
      <c r="WF11" s="235" t="s">
        <v>157</v>
      </c>
      <c r="WG11" s="234" t="s">
        <v>156</v>
      </c>
      <c r="WH11" s="233" t="s">
        <v>157</v>
      </c>
      <c r="WI11" s="298" t="s">
        <v>156</v>
      </c>
      <c r="WJ11" s="298" t="s">
        <v>157</v>
      </c>
      <c r="WK11" s="298" t="s">
        <v>156</v>
      </c>
      <c r="WL11" s="298" t="s">
        <v>157</v>
      </c>
      <c r="WM11" s="220" t="s">
        <v>108</v>
      </c>
      <c r="WN11" s="220" t="s">
        <v>109</v>
      </c>
      <c r="WO11" s="1153"/>
    </row>
    <row r="12" spans="1:613" s="340" customFormat="1" ht="25.5" customHeight="1" x14ac:dyDescent="0.3">
      <c r="A12" s="348" t="s">
        <v>79</v>
      </c>
      <c r="B12" s="503">
        <f>D12+AI12+'План и исполнение'!RA12+'План и исполнение'!SG12</f>
        <v>280337183.28999996</v>
      </c>
      <c r="C12" s="509">
        <f>E12+'План и исполнение'!RD12+AJ12+'План и исполнение'!SH12</f>
        <v>158149589.91999999</v>
      </c>
      <c r="D12" s="522">
        <f t="shared" ref="D12:D29" si="0">F12+P12+N12+V12+AA12+H12</f>
        <v>82031000</v>
      </c>
      <c r="E12" s="503">
        <f t="shared" ref="E12:E29" si="1">G12+Q12+O12+W12+AB12+I12</f>
        <v>49858800</v>
      </c>
      <c r="F12" s="596">
        <f>'[1]Дотация  из  ОБ_факт'!M8</f>
        <v>36305000</v>
      </c>
      <c r="G12" s="1550">
        <v>23974000</v>
      </c>
      <c r="H12" s="1555">
        <f>'[1]Дотация  из  ОБ_факт'!G8</f>
        <v>27718600</v>
      </c>
      <c r="I12" s="1550">
        <v>14570200</v>
      </c>
      <c r="J12" s="598">
        <f t="shared" ref="J12:J29" si="2">H12-L12</f>
        <v>27718600</v>
      </c>
      <c r="K12" s="602">
        <f t="shared" ref="K12:K29" si="3">I12-M12</f>
        <v>14570200</v>
      </c>
      <c r="L12" s="889">
        <f>'[1]Дотация  из  ОБ_факт'!K8</f>
        <v>0</v>
      </c>
      <c r="M12" s="784"/>
      <c r="N12" s="596">
        <f>'[1]Дотация  из  ОБ_факт'!Q8</f>
        <v>535500</v>
      </c>
      <c r="O12" s="1053">
        <v>535500</v>
      </c>
      <c r="P12" s="596">
        <f>'[1]Дотация  из  ОБ_факт'!S8</f>
        <v>17471900</v>
      </c>
      <c r="Q12" s="1047">
        <v>10779100</v>
      </c>
      <c r="R12" s="602">
        <f t="shared" ref="R12:R29" si="4">P12-T12</f>
        <v>17471900</v>
      </c>
      <c r="S12" s="597">
        <f t="shared" ref="S12:S29" si="5">Q12-U12</f>
        <v>10779100</v>
      </c>
      <c r="T12" s="889">
        <f>'[1]Дотация  из  ОБ_факт'!W8</f>
        <v>0</v>
      </c>
      <c r="U12" s="1152"/>
      <c r="V12" s="596">
        <f>'[1]Дотация  из  ОБ_факт'!AA8+'[1]Дотация  из  ОБ_факт'!AC8+'[1]Дотация  из  ОБ_факт'!AG8</f>
        <v>0</v>
      </c>
      <c r="W12" s="1149">
        <f t="shared" ref="W12:W29" si="6">SUM(X12:Z12)</f>
        <v>0</v>
      </c>
      <c r="X12" s="890"/>
      <c r="Y12" s="836"/>
      <c r="Z12" s="890"/>
      <c r="AA12" s="596">
        <f>'[1]Дотация  из  ОБ_факт'!Y8+'[1]Дотация  из  ОБ_факт'!AE8</f>
        <v>0</v>
      </c>
      <c r="AB12" s="169">
        <f t="shared" ref="AB12:AB29" si="7">SUM(AC12:AD12)</f>
        <v>0</v>
      </c>
      <c r="AC12" s="836"/>
      <c r="AD12" s="890"/>
      <c r="AE12" s="598">
        <f t="shared" ref="AE12:AE29" si="8">AA12-AG12</f>
        <v>0</v>
      </c>
      <c r="AF12" s="602">
        <f t="shared" ref="AF12:AF29" si="9">AB12-AH12</f>
        <v>0</v>
      </c>
      <c r="AG12" s="598">
        <f>'[1]Дотация  из  ОБ_факт'!AE8</f>
        <v>0</v>
      </c>
      <c r="AH12" s="1037"/>
      <c r="AI12" s="599">
        <f>'План и исполнение'!LQ12+'План и исполнение'!QS12+'План и исполнение'!QU12+CQ12+CS12+CY12+DA12+BS12+CA12+'План и исполнение'!JQ12+'План и исполнение'!KA12+'План и исполнение'!EC12+'План и исполнение'!LE12+DM12+'План и исполнение'!IM12+'План и исполнение'!IS12+'План и исполнение'!MM12+'План и исполнение'!MU12+IG12+'План и исполнение'!MA12+FK12+EY12+PO12+ES12+AK12+AU12+FE12+JK12+GG12+GQ12+DG12+PU12+FQ12+EI12+QA12+NY12+GA12+CM12+HU12+IA12+NS12</f>
        <v>30088522.289999999</v>
      </c>
      <c r="AJ12" s="504">
        <f>'План и исполнение'!LV12+'План и исполнение'!QT12+'План и исполнение'!QV12+CR12+CT12+CZ12+DB12+BW12+CE12+'План и исполнение'!JV12+'План и исполнение'!KF12+'План и исполнение'!EF12+'План и исполнение'!LK12+DU12+'План и исполнение'!IP12+'План и исполнение'!IV12+'План и исполнение'!MQ12+'План и исполнение'!MY12+IJ12+'План и исполнение'!ME12+FH12+FN12+FB12+PR12+EV12+AP12+AY12+JN12+GL12+GV12+DJ12+PX12+FT12+EN12+QD12+OF12+GD12+CO12+HX12+ID12+NV12</f>
        <v>11280802.449999999</v>
      </c>
      <c r="AK12" s="504">
        <f t="shared" ref="AK12:AK29" si="10">SUM(AL12:AO12)</f>
        <v>0</v>
      </c>
      <c r="AL12" s="339">
        <f>[1]Субсидия_факт!DB10</f>
        <v>0</v>
      </c>
      <c r="AM12" s="512">
        <f>[1]Субсидия_факт!FF10</f>
        <v>0</v>
      </c>
      <c r="AN12" s="513">
        <f>[1]Субсидия_факт!FR10</f>
        <v>0</v>
      </c>
      <c r="AO12" s="512">
        <f>[1]Субсидия_факт!MZ10</f>
        <v>0</v>
      </c>
      <c r="AP12" s="504">
        <f t="shared" ref="AP12:AP29" si="11">SUM(AQ12:AT12)</f>
        <v>0</v>
      </c>
      <c r="AQ12" s="649"/>
      <c r="AR12" s="649"/>
      <c r="AS12" s="649"/>
      <c r="AT12" s="649"/>
      <c r="AU12" s="504">
        <f t="shared" ref="AU12:AU29" si="12">SUM(AV12:AX12)</f>
        <v>0</v>
      </c>
      <c r="AV12" s="468">
        <f>[1]Субсидия_факт!DD10</f>
        <v>0</v>
      </c>
      <c r="AW12" s="339">
        <f>[1]Субсидия_факт!FJ10</f>
        <v>0</v>
      </c>
      <c r="AX12" s="513">
        <f>[1]Субсидия_факт!NB10</f>
        <v>0</v>
      </c>
      <c r="AY12" s="504">
        <f t="shared" ref="AY12:AY29" si="13">SUM(AZ12:BB12)</f>
        <v>0</v>
      </c>
      <c r="AZ12" s="532"/>
      <c r="BA12" s="532"/>
      <c r="BB12" s="533"/>
      <c r="BC12" s="697">
        <f t="shared" ref="BC12:BC29" si="14">SUM(BD12:BF12)</f>
        <v>0</v>
      </c>
      <c r="BD12" s="679">
        <f t="shared" ref="BD12:BD29" si="15">AV12-BL12</f>
        <v>0</v>
      </c>
      <c r="BE12" s="468">
        <f t="shared" ref="BE12:BE29" si="16">AW12-BM12</f>
        <v>0</v>
      </c>
      <c r="BF12" s="339">
        <f t="shared" ref="BF12:BF29" si="17">AX12-BN12</f>
        <v>0</v>
      </c>
      <c r="BG12" s="697">
        <f t="shared" ref="BG12:BG29" si="18">SUM(BH12:BJ12)</f>
        <v>0</v>
      </c>
      <c r="BH12" s="646">
        <f t="shared" ref="BH12:BH29" si="19">AZ12-BP12</f>
        <v>0</v>
      </c>
      <c r="BI12" s="513">
        <f t="shared" ref="BI12:BI29" si="20">BA12-BQ12</f>
        <v>0</v>
      </c>
      <c r="BJ12" s="339">
        <f t="shared" ref="BJ12:BJ29" si="21">BB12-BR12</f>
        <v>0</v>
      </c>
      <c r="BK12" s="697">
        <f t="shared" ref="BK12:BK29" si="22">SUM(BL12:BN12)</f>
        <v>0</v>
      </c>
      <c r="BL12" s="468">
        <f>[1]Субсидия_факт!DF10</f>
        <v>0</v>
      </c>
      <c r="BM12" s="339">
        <f>[1]Субсидия_факт!FL10</f>
        <v>0</v>
      </c>
      <c r="BN12" s="468">
        <f>[1]Субсидия_факт!ND10</f>
        <v>0</v>
      </c>
      <c r="BO12" s="600">
        <f t="shared" ref="BO12:BO29" si="23">SUM(BP12:BR12)</f>
        <v>0</v>
      </c>
      <c r="BP12" s="533"/>
      <c r="BQ12" s="532"/>
      <c r="BR12" s="533"/>
      <c r="BS12" s="509">
        <f>SUM(BT12:BV12)</f>
        <v>12591719</v>
      </c>
      <c r="BT12" s="933">
        <f>[1]Субсидия_факт!IL10</f>
        <v>0</v>
      </c>
      <c r="BU12" s="930">
        <f>[1]Субсидия_факт!IR10</f>
        <v>12591719</v>
      </c>
      <c r="BV12" s="529">
        <f>[1]Субсидия_факт!JD10</f>
        <v>0</v>
      </c>
      <c r="BW12" s="509">
        <f>SUM(BX12:BZ12)</f>
        <v>1195542.01</v>
      </c>
      <c r="BX12" s="532"/>
      <c r="BY12" s="532">
        <v>1195542.01</v>
      </c>
      <c r="BZ12" s="650"/>
      <c r="CA12" s="509">
        <f>SUM(CB12:CD12)</f>
        <v>0</v>
      </c>
      <c r="CB12" s="468">
        <f>[1]Субсидия_факт!IN10</f>
        <v>0</v>
      </c>
      <c r="CC12" s="339">
        <f>[1]Субсидия_факт!IT10</f>
        <v>0</v>
      </c>
      <c r="CD12" s="529">
        <f>[1]Субсидия_факт!JF10</f>
        <v>0</v>
      </c>
      <c r="CE12" s="509">
        <f>SUM(CF12:CH12)</f>
        <v>0</v>
      </c>
      <c r="CF12" s="532"/>
      <c r="CG12" s="533"/>
      <c r="CH12" s="760"/>
      <c r="CI12" s="526">
        <f t="shared" ref="CI12:CI29" si="24">CA12-CK12</f>
        <v>0</v>
      </c>
      <c r="CJ12" s="524">
        <f t="shared" ref="CJ12:CJ29" si="25">CE12-CL12</f>
        <v>0</v>
      </c>
      <c r="CK12" s="523">
        <f>CA12</f>
        <v>0</v>
      </c>
      <c r="CL12" s="526">
        <f>CE12</f>
        <v>0</v>
      </c>
      <c r="CM12" s="964">
        <f>CN12</f>
        <v>0</v>
      </c>
      <c r="CN12" s="720">
        <f>[1]Субсидия_факт!FT10</f>
        <v>0</v>
      </c>
      <c r="CO12" s="964">
        <f>CP12</f>
        <v>0</v>
      </c>
      <c r="CP12" s="720"/>
      <c r="CQ12" s="1063">
        <f>[1]Субсидия_факт!FV10</f>
        <v>0</v>
      </c>
      <c r="CR12" s="1099"/>
      <c r="CS12" s="509">
        <f>[1]Субсидия_факт!FX10</f>
        <v>0</v>
      </c>
      <c r="CT12" s="1099"/>
      <c r="CU12" s="600">
        <f t="shared" ref="CU12:CU29" si="26">CS12-CW12</f>
        <v>0</v>
      </c>
      <c r="CV12" s="1291">
        <f t="shared" ref="CV12:CV29" si="27">CT12-CX12</f>
        <v>0</v>
      </c>
      <c r="CW12" s="600">
        <f>[1]Субсидия_факт!FZ10</f>
        <v>0</v>
      </c>
      <c r="CX12" s="784"/>
      <c r="CY12" s="503">
        <f>[1]Субсидия_факт!GB10</f>
        <v>0</v>
      </c>
      <c r="CZ12" s="1172"/>
      <c r="DA12" s="1063">
        <f>[1]Субсидия_факт!GD10</f>
        <v>0</v>
      </c>
      <c r="DB12" s="1099"/>
      <c r="DC12" s="530">
        <f t="shared" ref="DC12:DC29" si="28">DA12-DE12</f>
        <v>0</v>
      </c>
      <c r="DD12" s="530">
        <f t="shared" ref="DD12:DD29" si="29">DB12-DF12</f>
        <v>0</v>
      </c>
      <c r="DE12" s="691">
        <f>[1]Субсидия_факт!GF10</f>
        <v>0</v>
      </c>
      <c r="DF12" s="338"/>
      <c r="DG12" s="504">
        <f t="shared" ref="DG12:DG29" si="30">SUM(DH12:DI12)</f>
        <v>0</v>
      </c>
      <c r="DH12" s="529">
        <f>[1]Субсидия_факт!EV10</f>
        <v>0</v>
      </c>
      <c r="DI12" s="896">
        <f>[1]Субсидия_факт!EX10</f>
        <v>0</v>
      </c>
      <c r="DJ12" s="471">
        <f t="shared" ref="DJ12:DJ29" si="31">SUM(DK12:DL12)</f>
        <v>0</v>
      </c>
      <c r="DK12" s="809"/>
      <c r="DL12" s="1083"/>
      <c r="DM12" s="503">
        <f t="shared" ref="DM12:DM29" si="32">SUM(DN12:DT12)</f>
        <v>0</v>
      </c>
      <c r="DN12" s="1065">
        <f>[1]Субсидия_факт!R10</f>
        <v>0</v>
      </c>
      <c r="DO12" s="1209">
        <f>[1]Субсидия_факт!T10</f>
        <v>0</v>
      </c>
      <c r="DP12" s="712">
        <f>[1]Субсидия_факт!V10</f>
        <v>0</v>
      </c>
      <c r="DQ12" s="1026">
        <f>[1]Субсидия_факт!X10</f>
        <v>0</v>
      </c>
      <c r="DR12" s="813">
        <f>[1]Субсидия_факт!Z10</f>
        <v>0</v>
      </c>
      <c r="DS12" s="512">
        <f>[1]Субсидия_факт!AB10</f>
        <v>0</v>
      </c>
      <c r="DT12" s="1026">
        <f>[1]Субсидия_факт!AD10</f>
        <v>0</v>
      </c>
      <c r="DU12" s="509">
        <f t="shared" ref="DU12:DU29" si="33">SUM(DV12:EB12)</f>
        <v>0</v>
      </c>
      <c r="DV12" s="533"/>
      <c r="DW12" s="532"/>
      <c r="DX12" s="716"/>
      <c r="DY12" s="532"/>
      <c r="DZ12" s="716"/>
      <c r="EA12" s="533"/>
      <c r="EB12" s="649"/>
      <c r="EC12" s="504">
        <f t="shared" ref="EC12:EC29" si="34">SUM(ED12:EE12)</f>
        <v>0</v>
      </c>
      <c r="ED12" s="529">
        <f>[1]Субсидия_факт!BN10</f>
        <v>0</v>
      </c>
      <c r="EE12" s="896">
        <f>[1]Субсидия_факт!BP10</f>
        <v>0</v>
      </c>
      <c r="EF12" s="471">
        <f t="shared" ref="EF12:EF29" si="35">SUM(EG12:EH12)</f>
        <v>0</v>
      </c>
      <c r="EG12" s="809"/>
      <c r="EH12" s="1083"/>
      <c r="EI12" s="503">
        <f>SUM(EJ12:EM12)</f>
        <v>0</v>
      </c>
      <c r="EJ12" s="468">
        <f>[1]Субсидия_факт!AJ10</f>
        <v>0</v>
      </c>
      <c r="EK12" s="720">
        <f>[1]Субсидия_факт!AL10</f>
        <v>0</v>
      </c>
      <c r="EL12" s="932">
        <f>[1]Субсидия_факт!AN10</f>
        <v>0</v>
      </c>
      <c r="EM12" s="720">
        <f>[1]Субсидия_факт!AP10</f>
        <v>0</v>
      </c>
      <c r="EN12" s="509">
        <f>SUM(EO12:ER12)</f>
        <v>0</v>
      </c>
      <c r="EO12" s="1125"/>
      <c r="EP12" s="716"/>
      <c r="EQ12" s="1125"/>
      <c r="ER12" s="716"/>
      <c r="ES12" s="504">
        <f t="shared" ref="ES12:ES29" si="36">SUM(ET12:EU12)</f>
        <v>0</v>
      </c>
      <c r="ET12" s="529">
        <f>[1]Субсидия_факт!AX10</f>
        <v>0</v>
      </c>
      <c r="EU12" s="789">
        <f>[1]Субсидия_факт!AZ10</f>
        <v>0</v>
      </c>
      <c r="EV12" s="471">
        <f t="shared" ref="EV12:EV29" si="37">SUM(EW12:EX12)</f>
        <v>0</v>
      </c>
      <c r="EW12" s="809"/>
      <c r="EX12" s="708"/>
      <c r="EY12" s="504">
        <f t="shared" ref="EY12:EY29" si="38">SUM(EZ12:FA12)</f>
        <v>0</v>
      </c>
      <c r="EZ12" s="529">
        <f>[1]Субсидия_факт!BZ10</f>
        <v>0</v>
      </c>
      <c r="FA12" s="896">
        <f>[1]Субсидия_факт!CB10</f>
        <v>0</v>
      </c>
      <c r="FB12" s="471">
        <f t="shared" ref="FB12:FB29" si="39">SUM(FC12:FD12)</f>
        <v>0</v>
      </c>
      <c r="FC12" s="809"/>
      <c r="FD12" s="708"/>
      <c r="FE12" s="504">
        <f t="shared" ref="FE12:FE29" si="40">SUM(FF12:FG12)</f>
        <v>0</v>
      </c>
      <c r="FF12" s="529">
        <f>[1]Субсидия_факт!BR10</f>
        <v>0</v>
      </c>
      <c r="FG12" s="896">
        <f>[1]Субсидия_факт!BT10</f>
        <v>0</v>
      </c>
      <c r="FH12" s="471">
        <f t="shared" ref="FH12:FH29" si="41">SUM(FI12:FJ12)</f>
        <v>0</v>
      </c>
      <c r="FI12" s="809"/>
      <c r="FJ12" s="708"/>
      <c r="FK12" s="504">
        <f t="shared" ref="FK12:FK29" si="42">SUM(FL12:FM12)</f>
        <v>0</v>
      </c>
      <c r="FL12" s="529">
        <f>[1]Субсидия_факт!KJ10</f>
        <v>0</v>
      </c>
      <c r="FM12" s="896">
        <f>[1]Субсидия_факт!KL10</f>
        <v>0</v>
      </c>
      <c r="FN12" s="471">
        <f t="shared" ref="FN12:FN29" si="43">SUM(FO12:FP12)</f>
        <v>0</v>
      </c>
      <c r="FO12" s="809"/>
      <c r="FP12" s="708"/>
      <c r="FQ12" s="504">
        <f t="shared" ref="FQ12:FQ29" si="44">SUM(FR12:FS12)</f>
        <v>0</v>
      </c>
      <c r="FR12" s="529">
        <f>[1]Субсидия_факт!KN10</f>
        <v>0</v>
      </c>
      <c r="FS12" s="896">
        <f>[1]Субсидия_факт!KR10</f>
        <v>0</v>
      </c>
      <c r="FT12" s="471">
        <f t="shared" ref="FT12:FT29" si="45">SUM(FU12:FV12)</f>
        <v>0</v>
      </c>
      <c r="FU12" s="809"/>
      <c r="FV12" s="708"/>
      <c r="FW12" s="695">
        <f>FQ12-FY12</f>
        <v>0</v>
      </c>
      <c r="FX12" s="697">
        <f>FT12-FZ12</f>
        <v>0</v>
      </c>
      <c r="FY12" s="695">
        <f>FQ12</f>
        <v>0</v>
      </c>
      <c r="FZ12" s="697">
        <f>FT12</f>
        <v>0</v>
      </c>
      <c r="GA12" s="504">
        <f>SUM(GB12:GC12)</f>
        <v>0</v>
      </c>
      <c r="GB12" s="1374">
        <f>[1]Субсидия_факт!BJ10</f>
        <v>0</v>
      </c>
      <c r="GC12" s="706">
        <f>[1]Субсидия_факт!BL10</f>
        <v>0</v>
      </c>
      <c r="GD12" s="504">
        <f>SUM(GE12:GF12)</f>
        <v>0</v>
      </c>
      <c r="GE12" s="760"/>
      <c r="GF12" s="708"/>
      <c r="GG12" s="504">
        <f t="shared" ref="GG12:GG29" si="46">SUM(GJ12:GK12)</f>
        <v>0</v>
      </c>
      <c r="GH12" s="760"/>
      <c r="GI12" s="708"/>
      <c r="GJ12" s="529"/>
      <c r="GK12" s="896"/>
      <c r="GL12" s="471">
        <f t="shared" ref="GL12:GL29" si="47">SUM(GO12:GP12)</f>
        <v>0</v>
      </c>
      <c r="GM12" s="760"/>
      <c r="GN12" s="708"/>
      <c r="GO12" s="760"/>
      <c r="GP12" s="708"/>
      <c r="GQ12" s="471">
        <f>SUM(GR12:GU12)</f>
        <v>1734409.24</v>
      </c>
      <c r="GR12" s="1374">
        <f>[1]Субсидия_факт!GJ10</f>
        <v>1734409.24</v>
      </c>
      <c r="GS12" s="706">
        <f>[1]Субсидия_факт!GN10</f>
        <v>0</v>
      </c>
      <c r="GT12" s="529">
        <f>[1]Субсидия_факт!GX10</f>
        <v>0</v>
      </c>
      <c r="GU12" s="896">
        <f>[1]Субсидия_факт!HB10</f>
        <v>0</v>
      </c>
      <c r="GV12" s="471">
        <f>SUM(GW12:GZ12)</f>
        <v>0</v>
      </c>
      <c r="GW12" s="760"/>
      <c r="GX12" s="708"/>
      <c r="GY12" s="760"/>
      <c r="GZ12" s="708"/>
      <c r="HA12" s="695">
        <f>SUM(HB12:HE12)</f>
        <v>1734409.24</v>
      </c>
      <c r="HB12" s="1374">
        <f t="shared" ref="HB12:HB29" si="48">GR12-HL12</f>
        <v>1734409.24</v>
      </c>
      <c r="HC12" s="1375">
        <f t="shared" ref="HC12:HC29" si="49">GS12-HM12</f>
        <v>0</v>
      </c>
      <c r="HD12" s="529">
        <f t="shared" ref="HD12:HD29" si="50">GT12-HN12</f>
        <v>0</v>
      </c>
      <c r="HE12" s="896">
        <f t="shared" ref="HE12:HE29" si="51">GU12-HO12</f>
        <v>0</v>
      </c>
      <c r="HF12" s="695">
        <f>SUM(HG12:HJ12)</f>
        <v>0</v>
      </c>
      <c r="HG12" s="1374">
        <f t="shared" ref="HG12:HG29" si="52">GW12-HQ12</f>
        <v>0</v>
      </c>
      <c r="HH12" s="1375">
        <f t="shared" ref="HH12:HH29" si="53">GX12-HR12</f>
        <v>0</v>
      </c>
      <c r="HI12" s="529">
        <f t="shared" ref="HI12:HI29" si="54">GY12-HS12</f>
        <v>0</v>
      </c>
      <c r="HJ12" s="896">
        <f t="shared" ref="HJ12:HJ29" si="55">GZ12-HT12</f>
        <v>0</v>
      </c>
      <c r="HK12" s="695">
        <f>SUM(HL12:HO12)</f>
        <v>0</v>
      </c>
      <c r="HL12" s="1374">
        <f>[1]Субсидия_факт!GL10</f>
        <v>0</v>
      </c>
      <c r="HM12" s="706">
        <f>[1]Субсидия_факт!GP10</f>
        <v>0</v>
      </c>
      <c r="HN12" s="529">
        <f>[1]Субсидия_факт!GZ10</f>
        <v>0</v>
      </c>
      <c r="HO12" s="896">
        <f>[1]Субсидия_факт!HD10</f>
        <v>0</v>
      </c>
      <c r="HP12" s="695">
        <f>SUM(HQ12:HT12)</f>
        <v>0</v>
      </c>
      <c r="HQ12" s="760"/>
      <c r="HR12" s="708"/>
      <c r="HS12" s="760"/>
      <c r="HT12" s="708"/>
      <c r="HU12" s="503">
        <f t="shared" ref="HU12:HU29" si="56">SUM(HV12:HW12)</f>
        <v>0</v>
      </c>
      <c r="HV12" s="512">
        <f>[1]Субсидия_факт!N10</f>
        <v>0</v>
      </c>
      <c r="HW12" s="720">
        <f>[1]Субсидия_факт!P10</f>
        <v>0</v>
      </c>
      <c r="HX12" s="509">
        <f t="shared" ref="HX12:HX29" si="57">SUM(HY12:HZ12)</f>
        <v>0</v>
      </c>
      <c r="HY12" s="532"/>
      <c r="HZ12" s="738"/>
      <c r="IA12" s="503">
        <f t="shared" ref="IA12:IA29" si="58">SUM(IB12:IC12)</f>
        <v>0</v>
      </c>
      <c r="IB12" s="1065">
        <f>[1]Субсидия_факт!DZ10</f>
        <v>0</v>
      </c>
      <c r="IC12" s="720">
        <f>[1]Субсидия_факт!EB10</f>
        <v>0</v>
      </c>
      <c r="ID12" s="1063">
        <f t="shared" ref="ID12:ID29" si="59">SUM(IE12:IF12)</f>
        <v>0</v>
      </c>
      <c r="IE12" s="532"/>
      <c r="IF12" s="738"/>
      <c r="IG12" s="503">
        <f t="shared" ref="IG12" si="60">SUM(IH12:II12)</f>
        <v>0</v>
      </c>
      <c r="IH12" s="531">
        <f>[1]Субсидия_факт!EP10</f>
        <v>0</v>
      </c>
      <c r="II12" s="789">
        <f>[1]Субсидия_факт!ER10</f>
        <v>0</v>
      </c>
      <c r="IJ12" s="509">
        <f t="shared" ref="IJ12" si="61">SUM(IK12:IL12)</f>
        <v>0</v>
      </c>
      <c r="IK12" s="532"/>
      <c r="IL12" s="738"/>
      <c r="IM12" s="599">
        <f t="shared" ref="IM12:IM29" si="62">SUM(IN12:IO12)</f>
        <v>0</v>
      </c>
      <c r="IN12" s="529">
        <f>[1]Субсидия_факт!ED10</f>
        <v>0</v>
      </c>
      <c r="IO12" s="896">
        <f>[1]Субсидия_факт!EJ10</f>
        <v>0</v>
      </c>
      <c r="IP12" s="471">
        <f t="shared" ref="IP12:IP29" si="63">SUM(IQ12:IR12)</f>
        <v>0</v>
      </c>
      <c r="IQ12" s="760"/>
      <c r="IR12" s="708"/>
      <c r="IS12" s="471">
        <f t="shared" ref="IS12:IS29" si="64">SUM(IT12:IU12)</f>
        <v>100280.06999999999</v>
      </c>
      <c r="IT12" s="529">
        <f>[1]Субсидия_факт!EF10</f>
        <v>28078.559999999998</v>
      </c>
      <c r="IU12" s="789">
        <f>[1]Субсидия_факт!EL10</f>
        <v>72201.509999999995</v>
      </c>
      <c r="IV12" s="471">
        <f t="shared" ref="IV12:IV29" si="65">SUM(IW12:IX12)</f>
        <v>0</v>
      </c>
      <c r="IW12" s="650">
        <v>0</v>
      </c>
      <c r="IX12" s="742"/>
      <c r="IY12" s="697">
        <f t="shared" ref="IY12:IY29" si="66">SUM(IZ12:JA12)</f>
        <v>100280.06999999999</v>
      </c>
      <c r="IZ12" s="787">
        <f>'План и исполнение'!IT12-'План и исполнение'!JF12</f>
        <v>28078.559999999998</v>
      </c>
      <c r="JA12" s="706">
        <f>'План и исполнение'!IU12-'План и исполнение'!JG12</f>
        <v>72201.509999999995</v>
      </c>
      <c r="JB12" s="691">
        <f t="shared" ref="JB12:JB29" si="67">SUM(JC12:JD12)</f>
        <v>0</v>
      </c>
      <c r="JC12" s="793">
        <f>'План и исполнение'!IW12-'План и исполнение'!JI12</f>
        <v>0</v>
      </c>
      <c r="JD12" s="804">
        <f>'План и исполнение'!IX12-'План и исполнение'!JJ12</f>
        <v>0</v>
      </c>
      <c r="JE12" s="697">
        <f t="shared" ref="JE12:JE29" si="68">SUM(JF12:JG12)</f>
        <v>0</v>
      </c>
      <c r="JF12" s="529">
        <f>[1]Субсидия_факт!EH10</f>
        <v>0</v>
      </c>
      <c r="JG12" s="896">
        <f>[1]Субсидия_факт!EN10</f>
        <v>0</v>
      </c>
      <c r="JH12" s="697">
        <f t="shared" ref="JH12:JH29" si="69">SUM(JI12:JJ12)</f>
        <v>0</v>
      </c>
      <c r="JI12" s="529"/>
      <c r="JJ12" s="789"/>
      <c r="JK12" s="471">
        <f t="shared" ref="JK12:JK29" si="70">SUM(JL12:JM12)</f>
        <v>0</v>
      </c>
      <c r="JL12" s="793">
        <f>[1]Субсидия_факт!AR10</f>
        <v>0</v>
      </c>
      <c r="JM12" s="706">
        <f>[1]Субсидия_факт!AT10</f>
        <v>0</v>
      </c>
      <c r="JN12" s="471">
        <f t="shared" ref="JN12:JN29" si="71">SUM(JO12:JP12)</f>
        <v>0</v>
      </c>
      <c r="JO12" s="650"/>
      <c r="JP12" s="708"/>
      <c r="JQ12" s="785">
        <f t="shared" ref="JQ12:JQ29" si="72">SUM(JR12:JU12)</f>
        <v>0</v>
      </c>
      <c r="JR12" s="793">
        <f>[1]Субсидия_факт!CJ10</f>
        <v>0</v>
      </c>
      <c r="JS12" s="706">
        <f>[1]Субсидия_факт!CP10</f>
        <v>0</v>
      </c>
      <c r="JT12" s="529">
        <f>[1]Субсидия_факт!DN10</f>
        <v>0</v>
      </c>
      <c r="JU12" s="896">
        <f>[1]Субсидия_факт!DT10</f>
        <v>0</v>
      </c>
      <c r="JV12" s="471">
        <f t="shared" ref="JV12:JV29" si="73">SUM(JW12:JZ12)</f>
        <v>0</v>
      </c>
      <c r="JW12" s="650"/>
      <c r="JX12" s="708"/>
      <c r="JY12" s="650"/>
      <c r="JZ12" s="892"/>
      <c r="KA12" s="785">
        <f t="shared" ref="KA12:KA29" si="74">SUM(KB12:KE12)</f>
        <v>0</v>
      </c>
      <c r="KB12" s="793">
        <f>[1]Субсидия_факт!CL10</f>
        <v>0</v>
      </c>
      <c r="KC12" s="706">
        <f>[1]Субсидия_факт!CR10</f>
        <v>0</v>
      </c>
      <c r="KD12" s="529">
        <f>[1]Субсидия_факт!DP10</f>
        <v>0</v>
      </c>
      <c r="KE12" s="896">
        <f>[1]Субсидия_факт!DV10</f>
        <v>0</v>
      </c>
      <c r="KF12" s="471">
        <f t="shared" ref="KF12:KF29" si="75">SUM(KG12:KJ12)</f>
        <v>0</v>
      </c>
      <c r="KG12" s="650"/>
      <c r="KH12" s="708"/>
      <c r="KI12" s="809"/>
      <c r="KJ12" s="708"/>
      <c r="KK12" s="788">
        <f t="shared" ref="KK12:KK29" si="76">SUM(KL12:KO12)</f>
        <v>0</v>
      </c>
      <c r="KL12" s="646">
        <f>'План и исполнение'!KB12-KV12</f>
        <v>0</v>
      </c>
      <c r="KM12" s="712">
        <f>'План и исполнение'!KC12-KW12</f>
        <v>0</v>
      </c>
      <c r="KN12" s="787">
        <f>'План и исполнение'!KD12-KX12</f>
        <v>0</v>
      </c>
      <c r="KO12" s="706">
        <f>'План и исполнение'!KE12-KY12</f>
        <v>0</v>
      </c>
      <c r="KP12" s="788">
        <f t="shared" ref="KP12:KP29" si="77">SUM(KQ12:KT12)</f>
        <v>0</v>
      </c>
      <c r="KQ12" s="646">
        <f>'План и исполнение'!KG12-LA12</f>
        <v>0</v>
      </c>
      <c r="KR12" s="745">
        <f>'План и исполнение'!KH12-LB12</f>
        <v>0</v>
      </c>
      <c r="KS12" s="793">
        <f>'План и исполнение'!KI12-LC12</f>
        <v>0</v>
      </c>
      <c r="KT12" s="804">
        <f>'План и исполнение'!KJ12-LD12</f>
        <v>0</v>
      </c>
      <c r="KU12" s="697">
        <f t="shared" ref="KU12:KU29" si="78">SUM(KV12:KY12)</f>
        <v>0</v>
      </c>
      <c r="KV12" s="793">
        <f>[1]Субсидия_факт!CN10</f>
        <v>0</v>
      </c>
      <c r="KW12" s="706">
        <f>[1]Субсидия_факт!CT10</f>
        <v>0</v>
      </c>
      <c r="KX12" s="529">
        <f>[1]Субсидия_факт!DR10</f>
        <v>0</v>
      </c>
      <c r="KY12" s="896">
        <f>[1]Субсидия_факт!DX10</f>
        <v>0</v>
      </c>
      <c r="KZ12" s="697">
        <f t="shared" ref="KZ12:KZ29" si="79">SUM(LA12:LD12)</f>
        <v>0</v>
      </c>
      <c r="LA12" s="650"/>
      <c r="LB12" s="708"/>
      <c r="LC12" s="531"/>
      <c r="LD12" s="1639"/>
      <c r="LE12" s="504">
        <f>SUM(LF12:LJ12)</f>
        <v>0</v>
      </c>
      <c r="LF12" s="529">
        <f>[1]Субсидия_факт!CD10</f>
        <v>0</v>
      </c>
      <c r="LG12" s="789">
        <f>[1]Субсидия_факт!CF10</f>
        <v>0</v>
      </c>
      <c r="LH12" s="529">
        <f>[1]Субсидия_факт!BV10</f>
        <v>0</v>
      </c>
      <c r="LI12" s="789">
        <f>[1]Субсидия_факт!BX10</f>
        <v>0</v>
      </c>
      <c r="LJ12" s="529">
        <f>[1]Субсидия_факт!CH10</f>
        <v>0</v>
      </c>
      <c r="LK12" s="509">
        <f>SUM(LL12:LP12)</f>
        <v>0</v>
      </c>
      <c r="LL12" s="650"/>
      <c r="LM12" s="708"/>
      <c r="LN12" s="650"/>
      <c r="LO12" s="708"/>
      <c r="LP12" s="650"/>
      <c r="LQ12" s="504">
        <f t="shared" ref="LQ12:LQ29" si="80">SUM(LR12:LU12)</f>
        <v>0</v>
      </c>
      <c r="LR12" s="512">
        <f>[1]Субсидия_факт!HN10</f>
        <v>0</v>
      </c>
      <c r="LS12" s="529">
        <f>[1]Субсидия_факт!HL10</f>
        <v>0</v>
      </c>
      <c r="LT12" s="1065">
        <f>[1]Субсидия_факт!HV10</f>
        <v>0</v>
      </c>
      <c r="LU12" s="720">
        <f>[1]Субсидия_факт!HX10</f>
        <v>0</v>
      </c>
      <c r="LV12" s="471">
        <f t="shared" ref="LV12:LV29" si="81">SUM(LW12:LZ12)</f>
        <v>0</v>
      </c>
      <c r="LW12" s="532"/>
      <c r="LX12" s="650"/>
      <c r="LY12" s="649"/>
      <c r="LZ12" s="716"/>
      <c r="MA12" s="509">
        <f t="shared" ref="MA12:MA29" si="82">SUM(MB12:MD12)</f>
        <v>0</v>
      </c>
      <c r="MB12" s="531">
        <f>[1]Субсидия_факт!HT10</f>
        <v>0</v>
      </c>
      <c r="MC12" s="531">
        <f>[1]Субсидия_факт!HP10</f>
        <v>0</v>
      </c>
      <c r="MD12" s="789">
        <f>[1]Субсидия_факт!HR10</f>
        <v>0</v>
      </c>
      <c r="ME12" s="509">
        <f t="shared" ref="ME12:ME29" si="83">SUM(MF12:MH12)</f>
        <v>0</v>
      </c>
      <c r="MF12" s="793">
        <f>MB12</f>
        <v>0</v>
      </c>
      <c r="MG12" s="650"/>
      <c r="MH12" s="708"/>
      <c r="MI12" s="893">
        <f t="shared" ref="MI12:MI29" si="84">MA12-MK12</f>
        <v>0</v>
      </c>
      <c r="MJ12" s="893">
        <f t="shared" ref="MJ12:MJ29" si="85">ME12-ML12</f>
        <v>0</v>
      </c>
      <c r="MK12" s="695">
        <f t="shared" ref="MK12:MK29" si="86">MA12</f>
        <v>0</v>
      </c>
      <c r="ML12" s="1028">
        <f t="shared" ref="ML12:ML29" si="87">ME12</f>
        <v>0</v>
      </c>
      <c r="MM12" s="791">
        <f>SUM(MN12:MO12)</f>
        <v>0</v>
      </c>
      <c r="MN12" s="529">
        <f>[1]Субсидия_факт!LH10</f>
        <v>0</v>
      </c>
      <c r="MO12" s="896">
        <f>[1]Субсидия_факт!LN10</f>
        <v>0</v>
      </c>
      <c r="MP12" s="531"/>
      <c r="MQ12" s="791">
        <f>SUM(MR12:MT12)</f>
        <v>0</v>
      </c>
      <c r="MR12" s="809"/>
      <c r="MS12" s="708"/>
      <c r="MT12" s="531"/>
      <c r="MU12" s="791">
        <f>SUM(MV12:MX12)</f>
        <v>7000000</v>
      </c>
      <c r="MV12" s="529">
        <f>[1]Субсидия_факт!LJ10</f>
        <v>0</v>
      </c>
      <c r="MW12" s="896">
        <f>[1]Субсидия_факт!LP10</f>
        <v>0</v>
      </c>
      <c r="MX12" s="531">
        <f>[1]Субсидия_факт!LT10</f>
        <v>7000000</v>
      </c>
      <c r="MY12" s="791">
        <f>SUM(MZ12:NB12)</f>
        <v>7000000</v>
      </c>
      <c r="MZ12" s="650"/>
      <c r="NA12" s="808"/>
      <c r="NB12" s="531">
        <f>MX12</f>
        <v>7000000</v>
      </c>
      <c r="NC12" s="792">
        <f>SUM(ND12:NF12)</f>
        <v>7000000</v>
      </c>
      <c r="ND12" s="680">
        <f>'План и исполнение'!MV12-NL12</f>
        <v>0</v>
      </c>
      <c r="NE12" s="713">
        <f>'План и исполнение'!MW12-NM12</f>
        <v>0</v>
      </c>
      <c r="NF12" s="647">
        <f>'План и исполнение'!MX12-NN12</f>
        <v>7000000</v>
      </c>
      <c r="NG12" s="792">
        <f>SUM(NH12:NJ12)</f>
        <v>7000000</v>
      </c>
      <c r="NH12" s="787">
        <f>'План и исполнение'!MZ12-NP12</f>
        <v>0</v>
      </c>
      <c r="NI12" s="706">
        <f>'План и исполнение'!NA12-NQ12</f>
        <v>0</v>
      </c>
      <c r="NJ12" s="793">
        <f>'План и исполнение'!NB12-NR12</f>
        <v>7000000</v>
      </c>
      <c r="NK12" s="792">
        <f>SUM(NL12:NN12)</f>
        <v>0</v>
      </c>
      <c r="NL12" s="529">
        <f>[1]Субсидия_факт!LL10</f>
        <v>0</v>
      </c>
      <c r="NM12" s="896">
        <f>[1]Субсидия_факт!LR10</f>
        <v>0</v>
      </c>
      <c r="NN12" s="529">
        <f>[1]Субсидия_факт!LV10</f>
        <v>0</v>
      </c>
      <c r="NO12" s="792">
        <f>SUM(NP12:NR12)</f>
        <v>0</v>
      </c>
      <c r="NP12" s="787">
        <f>MZ12</f>
        <v>0</v>
      </c>
      <c r="NQ12" s="706">
        <f>NA12</f>
        <v>0</v>
      </c>
      <c r="NR12" s="529">
        <f>NN12</f>
        <v>0</v>
      </c>
      <c r="NS12" s="509">
        <f>SUM(NT12:NU12)</f>
        <v>0</v>
      </c>
      <c r="NT12" s="1284">
        <f>[1]Субсидия_факт!NF10</f>
        <v>0</v>
      </c>
      <c r="NU12" s="712">
        <f>[1]Субсидия_факт!NH10</f>
        <v>0</v>
      </c>
      <c r="NV12" s="509">
        <f>SUM(NW12:NX12)</f>
        <v>0</v>
      </c>
      <c r="NW12" s="1603"/>
      <c r="NX12" s="738"/>
      <c r="NY12" s="509">
        <f>SUM(NZ12:OE12)</f>
        <v>1790617.64</v>
      </c>
      <c r="NZ12" s="1193">
        <f>[1]Субсидия_факт!LX10</f>
        <v>0</v>
      </c>
      <c r="OA12" s="1294">
        <f>[1]Субсидия_факт!MB10</f>
        <v>0</v>
      </c>
      <c r="OB12" s="1193">
        <f>[1]Субсидия_факт!MF10</f>
        <v>501372.94</v>
      </c>
      <c r="OC12" s="712">
        <f>[1]Субсидия_факт!MJ10</f>
        <v>1289244.7</v>
      </c>
      <c r="OD12" s="1284">
        <f>[1]Субсидия_факт!NJ10</f>
        <v>0</v>
      </c>
      <c r="OE12" s="712">
        <f>[1]Субсидия_факт!NN10</f>
        <v>0</v>
      </c>
      <c r="OF12" s="509">
        <f>SUM(OG12:OL12)</f>
        <v>324788.09999999998</v>
      </c>
      <c r="OG12" s="492"/>
      <c r="OH12" s="745"/>
      <c r="OI12" s="1603">
        <v>90940.67</v>
      </c>
      <c r="OJ12" s="738">
        <v>233847.43</v>
      </c>
      <c r="OK12" s="492"/>
      <c r="OL12" s="745"/>
      <c r="OM12" s="600">
        <f>SUM(ON12:OS12)</f>
        <v>1790617.64</v>
      </c>
      <c r="ON12" s="1193">
        <f t="shared" ref="ON12:ON29" si="88">NZ12-PB12</f>
        <v>0</v>
      </c>
      <c r="OO12" s="712">
        <f t="shared" ref="OO12:OO29" si="89">OA12-PC12</f>
        <v>0</v>
      </c>
      <c r="OP12" s="492">
        <f t="shared" ref="OP12:OP29" si="90">OB12-PD12</f>
        <v>501372.94</v>
      </c>
      <c r="OQ12" s="712">
        <f t="shared" ref="OQ12:OQ29" si="91">OC12-PE12</f>
        <v>1289244.7</v>
      </c>
      <c r="OR12" s="1284">
        <f t="shared" ref="OR12:OR29" si="92">OD12-PF12</f>
        <v>0</v>
      </c>
      <c r="OS12" s="712">
        <f t="shared" ref="OS12:OS29" si="93">OE12-PG12</f>
        <v>0</v>
      </c>
      <c r="OT12" s="600">
        <f>SUM(OU12:OZ12)</f>
        <v>324788.09999999998</v>
      </c>
      <c r="OU12" s="1193">
        <f t="shared" ref="OU12:OU29" si="94">OG12-PI12</f>
        <v>0</v>
      </c>
      <c r="OV12" s="712">
        <f t="shared" ref="OV12:OV29" si="95">OH12-PJ12</f>
        <v>0</v>
      </c>
      <c r="OW12" s="492">
        <f t="shared" ref="OW12:OW29" si="96">OI12-PK12</f>
        <v>90940.67</v>
      </c>
      <c r="OX12" s="712">
        <f t="shared" ref="OX12:OX29" si="97">OJ12-PL12</f>
        <v>233847.43</v>
      </c>
      <c r="OY12" s="1284">
        <f t="shared" ref="OY12:OY29" si="98">OK12-PM12</f>
        <v>0</v>
      </c>
      <c r="OZ12" s="712">
        <f t="shared" ref="OZ12:OZ29" si="99">OL12-PN12</f>
        <v>0</v>
      </c>
      <c r="PA12" s="600">
        <f>SUM(PB12:PG12)</f>
        <v>0</v>
      </c>
      <c r="PB12" s="1193">
        <f>[1]Субсидия_факт!LZ10</f>
        <v>0</v>
      </c>
      <c r="PC12" s="1294">
        <f>[1]Субсидия_факт!MD10</f>
        <v>0</v>
      </c>
      <c r="PD12" s="1193">
        <f>[1]Субсидия_факт!MH10</f>
        <v>0</v>
      </c>
      <c r="PE12" s="712">
        <f>[1]Субсидия_факт!ML10</f>
        <v>0</v>
      </c>
      <c r="PF12" s="990">
        <f>[1]Субсидия_факт!NL10</f>
        <v>0</v>
      </c>
      <c r="PG12" s="1497">
        <f>[1]Субсидия_факт!NP10</f>
        <v>0</v>
      </c>
      <c r="PH12" s="600">
        <f>SUM(PI12:PN12)</f>
        <v>0</v>
      </c>
      <c r="PI12" s="990"/>
      <c r="PJ12" s="745"/>
      <c r="PK12" s="492"/>
      <c r="PL12" s="745"/>
      <c r="PM12" s="492"/>
      <c r="PN12" s="745"/>
      <c r="PO12" s="504">
        <f t="shared" ref="PO12:PO29" si="100">SUM(PP12:PQ12)</f>
        <v>0</v>
      </c>
      <c r="PP12" s="529">
        <f>[1]Субсидия_факт!AF10</f>
        <v>0</v>
      </c>
      <c r="PQ12" s="896">
        <f>[1]Субсидия_факт!AH10</f>
        <v>0</v>
      </c>
      <c r="PR12" s="471">
        <f t="shared" ref="PR12:PR29" si="101">SUM(PS12:PT12)</f>
        <v>0</v>
      </c>
      <c r="PS12" s="809"/>
      <c r="PT12" s="708"/>
      <c r="PU12" s="509">
        <f t="shared" ref="PU12:PU29" si="102">SUM(PV12:PW12)</f>
        <v>0</v>
      </c>
      <c r="PV12" s="1026">
        <f>[1]Субсидия_факт!MN10</f>
        <v>0</v>
      </c>
      <c r="PW12" s="813">
        <f>[1]Субсидия_факт!MP10</f>
        <v>0</v>
      </c>
      <c r="PX12" s="509">
        <f t="shared" ref="PX12:PX29" si="103">SUM(PY12:PZ12)</f>
        <v>0</v>
      </c>
      <c r="PY12" s="533"/>
      <c r="PZ12" s="716"/>
      <c r="QA12" s="509">
        <f t="shared" ref="QA12:QA29" si="104">SUM(QB12:QC12)</f>
        <v>0</v>
      </c>
      <c r="QB12" s="1193">
        <f>[1]Субсидия_факт!MR10</f>
        <v>0</v>
      </c>
      <c r="QC12" s="712">
        <f>[1]Субсидия_факт!MV10</f>
        <v>0</v>
      </c>
      <c r="QD12" s="509">
        <f t="shared" ref="QD12:QD29" si="105">SUM(QE12:QF12)</f>
        <v>0</v>
      </c>
      <c r="QE12" s="649"/>
      <c r="QF12" s="716"/>
      <c r="QG12" s="600">
        <f t="shared" ref="QG12:QG29" si="106">SUM(QH12:QI12)</f>
        <v>0</v>
      </c>
      <c r="QH12" s="1193">
        <f t="shared" ref="QH12:QH29" si="107">QB12-QN12</f>
        <v>0</v>
      </c>
      <c r="QI12" s="712">
        <f t="shared" ref="QI12:QI29" si="108">QC12-QO12</f>
        <v>0</v>
      </c>
      <c r="QJ12" s="600">
        <f t="shared" ref="QJ12:QJ29" si="109">SUM(QK12:QL12)</f>
        <v>0</v>
      </c>
      <c r="QK12" s="1193">
        <f t="shared" ref="QK12:QK29" si="110">QE12-QQ12</f>
        <v>0</v>
      </c>
      <c r="QL12" s="712">
        <f t="shared" ref="QL12:QL29" si="111">QF12-QR12</f>
        <v>0</v>
      </c>
      <c r="QM12" s="600">
        <f t="shared" ref="QM12:QM29" si="112">SUM(QN12:QO12)</f>
        <v>0</v>
      </c>
      <c r="QN12" s="1209">
        <f>[1]Субсидия_факт!MT10</f>
        <v>0</v>
      </c>
      <c r="QO12" s="712">
        <f>[1]Субсидия_факт!MX10</f>
        <v>0</v>
      </c>
      <c r="QP12" s="600">
        <f t="shared" ref="QP12:QP29" si="113">SUM(QQ12:QR12)</f>
        <v>0</v>
      </c>
      <c r="QQ12" s="649"/>
      <c r="QR12" s="716"/>
      <c r="QS12" s="471">
        <f>'Прочая  субсидия_МР  и  ГО'!B8</f>
        <v>5669374.29</v>
      </c>
      <c r="QT12" s="471">
        <f>'Прочая  субсидия_МР  и  ГО'!C8</f>
        <v>1647522.29</v>
      </c>
      <c r="QU12" s="599">
        <f>'Прочая  субсидия_БП'!B8</f>
        <v>1202122.05</v>
      </c>
      <c r="QV12" s="504">
        <f>'Прочая  субсидия_БП'!C8</f>
        <v>1112950.05</v>
      </c>
      <c r="QW12" s="597">
        <f>'Прочая  субсидия_БП'!D8</f>
        <v>1202122.05</v>
      </c>
      <c r="QX12" s="598">
        <f>'Прочая  субсидия_БП'!E8</f>
        <v>1112950.05</v>
      </c>
      <c r="QY12" s="602">
        <f>'Прочая  субсидия_БП'!F8</f>
        <v>0</v>
      </c>
      <c r="QZ12" s="597">
        <f>'Прочая  субсидия_БП'!G8</f>
        <v>0</v>
      </c>
      <c r="RA12" s="503">
        <f t="shared" ref="RA12" si="114">SUM(RB12:RC12)</f>
        <v>168217661</v>
      </c>
      <c r="RB12" s="468">
        <f>'План и исполнение'!RZ12+'План и исполнение'!RG12+'План и исполнение'!RI12+'План и исполнение'!RK12</f>
        <v>165318761</v>
      </c>
      <c r="RC12" s="339">
        <f>'План и исполнение'!SB12+'План и исполнение'!RM12+'План и исполнение'!RS12+'План и исполнение'!RO12+'План и исполнение'!RQ12+RU12+RW12+SA12</f>
        <v>2898900</v>
      </c>
      <c r="RD12" s="1063">
        <f t="shared" ref="RD12" si="115">SUM(RE12:RF12)</f>
        <v>97009987.469999999</v>
      </c>
      <c r="RE12" s="1065">
        <f>'План и исполнение'!SD12+'План и исполнение'!RH12+'План и исполнение'!RJ12+'План и исполнение'!RL12</f>
        <v>95603685</v>
      </c>
      <c r="RF12" s="339">
        <f>'План и исполнение'!SF12+'План и исполнение'!RN12+'План и исполнение'!RT12+'План и исполнение'!RP12+'План и исполнение'!RR12+RV12+RX12+SE12</f>
        <v>1406302.47</v>
      </c>
      <c r="RG12" s="599">
        <f>'Субвенция  на  полномочия'!B8</f>
        <v>158060161</v>
      </c>
      <c r="RH12" s="471">
        <f>'Субвенция  на  полномочия'!C8</f>
        <v>92391285</v>
      </c>
      <c r="RI12" s="768">
        <f>[1]Субвенция_факт!P9*1000</f>
        <v>5515100</v>
      </c>
      <c r="RJ12" s="771">
        <v>2128900</v>
      </c>
      <c r="RK12" s="768">
        <f>[1]Субвенция_факт!K9*1000</f>
        <v>1020000</v>
      </c>
      <c r="RL12" s="771">
        <v>360000</v>
      </c>
      <c r="RM12" s="768">
        <f>[1]Субвенция_факт!AF9*1000</f>
        <v>1465900</v>
      </c>
      <c r="RN12" s="771">
        <v>627493.22</v>
      </c>
      <c r="RO12" s="768">
        <f>[1]Субвенция_факт!AG9*1000</f>
        <v>3000</v>
      </c>
      <c r="RP12" s="771">
        <v>0</v>
      </c>
      <c r="RQ12" s="768">
        <f>[1]Субвенция_факт!E9*1000</f>
        <v>0</v>
      </c>
      <c r="RR12" s="771"/>
      <c r="RS12" s="768">
        <f>[1]Субвенция_факт!F9*1000</f>
        <v>0</v>
      </c>
      <c r="RT12" s="877"/>
      <c r="RU12" s="461">
        <f>[1]Субвенция_факт!G9*1000</f>
        <v>0</v>
      </c>
      <c r="RV12" s="1241"/>
      <c r="RW12" s="461">
        <f>[1]Субвенция_факт!H9*1000</f>
        <v>0</v>
      </c>
      <c r="RX12" s="878"/>
      <c r="RY12" s="504">
        <f>RZ12+SB12+SA12</f>
        <v>2153500</v>
      </c>
      <c r="RZ12" s="886">
        <f>[1]Субвенция_факт!AE9*1000</f>
        <v>723500</v>
      </c>
      <c r="SA12" s="880">
        <f>[1]Субвенция_факт!AD9*1000</f>
        <v>0</v>
      </c>
      <c r="SB12" s="1157">
        <f>[1]Субвенция_факт!AC9*1000</f>
        <v>1430000</v>
      </c>
      <c r="SC12" s="509">
        <f t="shared" ref="SC12:SC29" si="116">SUM(SD12:SF12)</f>
        <v>1502309.25</v>
      </c>
      <c r="SD12" s="974">
        <v>723500</v>
      </c>
      <c r="SE12" s="1645"/>
      <c r="SF12" s="1652">
        <v>778809.25</v>
      </c>
      <c r="SG12" s="278">
        <f>'План и исполнение'!VI12+'План и исполнение'!VA12+'План и исполнение'!TA12+'План и исполнение'!TE12+UO12+UU12+SO12+SS12+TM12+TQ12+UE12+SI12+TY12</f>
        <v>0</v>
      </c>
      <c r="SH12" s="461">
        <f>'План и исполнение'!VK12+'План и исполнение'!VE12+'План и исполнение'!TC12+'План и исполнение'!TG12+UR12+UX12+SQ12+SU12+TO12+TS12+UH12+SL12+UB12</f>
        <v>0</v>
      </c>
      <c r="SI12" s="599">
        <f t="shared" ref="SI12:SI29" si="117">SJ12+SK12</f>
        <v>0</v>
      </c>
      <c r="SJ12" s="886">
        <f>'[1]Иные межбюджетные трансферты'!E10</f>
        <v>0</v>
      </c>
      <c r="SK12" s="982">
        <f>'[1]Иные межбюджетные трансферты'!G10</f>
        <v>0</v>
      </c>
      <c r="SL12" s="509">
        <f t="shared" ref="SL12:SL29" si="118">SUM(SM12:SN12)</f>
        <v>0</v>
      </c>
      <c r="SM12" s="1322"/>
      <c r="SN12" s="1505"/>
      <c r="SO12" s="1331">
        <f>SP12</f>
        <v>0</v>
      </c>
      <c r="SP12" s="1114">
        <f>'[1]Иные межбюджетные трансферты'!W10</f>
        <v>0</v>
      </c>
      <c r="SQ12" s="1329">
        <f>SR12</f>
        <v>0</v>
      </c>
      <c r="SR12" s="1330"/>
      <c r="SS12" s="1332">
        <f>ST12</f>
        <v>0</v>
      </c>
      <c r="ST12" s="1114">
        <f>'[1]Иные межбюджетные трансферты'!Y10</f>
        <v>0</v>
      </c>
      <c r="SU12" s="1343">
        <f>SV12</f>
        <v>0</v>
      </c>
      <c r="SV12" s="1330"/>
      <c r="SW12" s="1332">
        <f>SS12-SY12</f>
        <v>0</v>
      </c>
      <c r="SX12" s="1343">
        <f>SU12-SZ12</f>
        <v>0</v>
      </c>
      <c r="SY12" s="1354">
        <f>SS12</f>
        <v>0</v>
      </c>
      <c r="SZ12" s="1343">
        <f>SU12</f>
        <v>0</v>
      </c>
      <c r="TA12" s="1349">
        <f t="shared" ref="TA12:TA29" si="119">SUM(TB12:TB12)</f>
        <v>0</v>
      </c>
      <c r="TB12" s="1114">
        <f>'[1]Иные межбюджетные трансферты'!AC10</f>
        <v>0</v>
      </c>
      <c r="TC12" s="964">
        <f t="shared" ref="TC12:TC29" si="120">SUM(TD12:TD12)</f>
        <v>0</v>
      </c>
      <c r="TD12" s="982"/>
      <c r="TE12" s="970">
        <f t="shared" ref="TE12:TE29" si="121">SUM(TF12:TF12)</f>
        <v>0</v>
      </c>
      <c r="TF12" s="1114">
        <f>'[1]Иные межбюджетные трансферты'!AE10</f>
        <v>0</v>
      </c>
      <c r="TG12" s="964">
        <f t="shared" ref="TG12:TG29" si="122">SUM(TH12:TH12)</f>
        <v>0</v>
      </c>
      <c r="TH12" s="1213"/>
      <c r="TI12" s="967">
        <f t="shared" ref="TI12:TI29" si="123">TE12-TK12</f>
        <v>0</v>
      </c>
      <c r="TJ12" s="961">
        <f t="shared" ref="TJ12:TJ29" si="124">TG12-TL12</f>
        <v>0</v>
      </c>
      <c r="TK12" s="1218">
        <f>TE12</f>
        <v>0</v>
      </c>
      <c r="TL12" s="961">
        <f>TG12</f>
        <v>0</v>
      </c>
      <c r="TM12" s="970">
        <f t="shared" ref="TM12:TM29" si="125">SUM(TN12:TN12)</f>
        <v>0</v>
      </c>
      <c r="TN12" s="1114">
        <f>'[1]Иные межбюджетные трансферты'!AI10</f>
        <v>0</v>
      </c>
      <c r="TO12" s="964">
        <f t="shared" ref="TO12:TO29" si="126">SUM(TP12:TP12)</f>
        <v>0</v>
      </c>
      <c r="TP12" s="982"/>
      <c r="TQ12" s="970">
        <f t="shared" ref="TQ12:TQ29" si="127">SUM(TR12:TR12)</f>
        <v>0</v>
      </c>
      <c r="TR12" s="1114">
        <f>'[1]Иные межбюджетные трансферты'!AK10</f>
        <v>0</v>
      </c>
      <c r="TS12" s="964">
        <f t="shared" ref="TS12:TS29" si="128">SUM(TT12:TT12)</f>
        <v>0</v>
      </c>
      <c r="TT12" s="1213"/>
      <c r="TU12" s="967">
        <f t="shared" ref="TU12:TU29" si="129">TQ12-TW12</f>
        <v>0</v>
      </c>
      <c r="TV12" s="961">
        <f t="shared" ref="TV12:TV29" si="130">TS12-TX12</f>
        <v>0</v>
      </c>
      <c r="TW12" s="1218">
        <f>TQ12</f>
        <v>0</v>
      </c>
      <c r="TX12" s="967">
        <f>TS12</f>
        <v>0</v>
      </c>
      <c r="TY12" s="970">
        <f>SUM(TZ12:UA12)</f>
        <v>0</v>
      </c>
      <c r="TZ12" s="1209"/>
      <c r="UA12" s="712"/>
      <c r="UB12" s="970">
        <f>SUM(UC12:UD12)</f>
        <v>0</v>
      </c>
      <c r="UC12" s="649"/>
      <c r="UD12" s="716"/>
      <c r="UE12" s="970">
        <f>SUM(UF12:UG12)</f>
        <v>0</v>
      </c>
      <c r="UF12" s="1209">
        <f>'[1]Иные межбюджетные трансферты'!AS10</f>
        <v>0</v>
      </c>
      <c r="UG12" s="712">
        <f>'[1]Иные межбюджетные трансферты'!AW10</f>
        <v>0</v>
      </c>
      <c r="UH12" s="964">
        <f>SUM(UI12:UJ12)</f>
        <v>0</v>
      </c>
      <c r="UI12" s="1483"/>
      <c r="UJ12" s="1497"/>
      <c r="UK12" s="1499">
        <f>UE12-UM12</f>
        <v>0</v>
      </c>
      <c r="UL12" s="1499">
        <f>UH12-UN12</f>
        <v>0</v>
      </c>
      <c r="UM12" s="1499">
        <f>UE12</f>
        <v>0</v>
      </c>
      <c r="UN12" s="1272">
        <f>UH12</f>
        <v>0</v>
      </c>
      <c r="UO12" s="1149">
        <f t="shared" ref="UO12:UO29" si="131">SUM(UP12:UQ12)</f>
        <v>0</v>
      </c>
      <c r="UP12" s="1029">
        <f>'[1]Иные межбюджетные трансферты'!S10</f>
        <v>0</v>
      </c>
      <c r="UQ12" s="1266">
        <f>'[1]Иные межбюджетные трансферты'!U10</f>
        <v>0</v>
      </c>
      <c r="UR12" s="769">
        <f t="shared" ref="UR12:UR29" si="132">SUM(US12:UT12)</f>
        <v>0</v>
      </c>
      <c r="US12" s="1029"/>
      <c r="UT12" s="1266"/>
      <c r="UU12" s="1149">
        <f t="shared" ref="UU12:UU29" si="133">SUM(UV12:UW12)</f>
        <v>0</v>
      </c>
      <c r="UV12" s="1029">
        <f>'[1]Иные межбюджетные трансферты'!O10</f>
        <v>0</v>
      </c>
      <c r="UW12" s="1266">
        <f>'[1]Иные межбюджетные трансферты'!Q10</f>
        <v>0</v>
      </c>
      <c r="UX12" s="769">
        <f t="shared" ref="UX12:UX29" si="134">SUM(UY12:UZ12)</f>
        <v>0</v>
      </c>
      <c r="UY12" s="1029"/>
      <c r="UZ12" s="1266"/>
      <c r="VA12" s="888">
        <f>SUM(VB12:VD12)</f>
        <v>0</v>
      </c>
      <c r="VB12" s="886">
        <f>'[1]Иные межбюджетные трансферты'!I10</f>
        <v>0</v>
      </c>
      <c r="VC12" s="982">
        <f>'[1]Иные межбюджетные трансферты'!K10</f>
        <v>0</v>
      </c>
      <c r="VD12" s="1157">
        <f>'[1]Иные межбюджетные трансферты'!M10</f>
        <v>0</v>
      </c>
      <c r="VE12" s="888">
        <f>SUM(VF12:VH12)</f>
        <v>0</v>
      </c>
      <c r="VF12" s="976"/>
      <c r="VG12" s="977"/>
      <c r="VH12" s="1322"/>
      <c r="VI12" s="528">
        <f t="shared" ref="VI12:VI29" si="135">SUM(VJ12:VJ12)</f>
        <v>0</v>
      </c>
      <c r="VJ12" s="880"/>
      <c r="VK12" s="964">
        <f t="shared" ref="VK12:VK29" si="136">SUM(VL12:VL12)</f>
        <v>0</v>
      </c>
      <c r="VL12" s="531"/>
      <c r="VM12" s="893">
        <f t="shared" ref="VM12:VM29" si="137">SUM(VN12:VN12)</f>
        <v>0</v>
      </c>
      <c r="VN12" s="529"/>
      <c r="VO12" s="893">
        <f t="shared" ref="VO12:VO29" si="138">SUM(VP12:VP12)</f>
        <v>0</v>
      </c>
      <c r="VP12" s="529"/>
      <c r="VQ12" s="893">
        <f t="shared" ref="VQ12:VQ29" si="139">SUM(VR12:VR12)</f>
        <v>0</v>
      </c>
      <c r="VR12" s="880"/>
      <c r="VS12" s="1272">
        <f t="shared" ref="VS12:VS29" si="140">SUM(VT12:VT12)</f>
        <v>0</v>
      </c>
      <c r="VT12" s="531"/>
      <c r="VU12" s="535">
        <f>VW12+'План и исполнение'!WE12+WA12+'План и исполнение'!WI12+WC12+'План и исполнение'!WK12</f>
        <v>-2217600</v>
      </c>
      <c r="VV12" s="509">
        <f>VX12+'План и исполнение'!WF12+WB12+'План и исполнение'!WJ12+WD12+'План и исполнение'!WL12</f>
        <v>-5067600</v>
      </c>
      <c r="VW12" s="536">
        <v>5500000</v>
      </c>
      <c r="VX12" s="536"/>
      <c r="VY12" s="536"/>
      <c r="VZ12" s="536"/>
      <c r="WA12" s="526">
        <f t="shared" ref="WA12:WA29" si="141">VY12-WC12</f>
        <v>0</v>
      </c>
      <c r="WB12" s="524">
        <f t="shared" ref="WB12:WB29" si="142">VZ12-WD12</f>
        <v>0</v>
      </c>
      <c r="WC12" s="537"/>
      <c r="WD12" s="527"/>
      <c r="WE12" s="536">
        <v>-6300000</v>
      </c>
      <c r="WF12" s="536">
        <v>-3650000</v>
      </c>
      <c r="WG12" s="536">
        <v>-1417600</v>
      </c>
      <c r="WH12" s="536">
        <f>-100000-800000-300000-217600</f>
        <v>-1417600</v>
      </c>
      <c r="WI12" s="526">
        <f t="shared" ref="WI12:WI29" si="143">WG12-WK12</f>
        <v>-1417600</v>
      </c>
      <c r="WJ12" s="524">
        <f t="shared" ref="WJ12:WJ29" si="144">WH12-WL12</f>
        <v>-1417600</v>
      </c>
      <c r="WK12" s="538"/>
      <c r="WL12" s="539"/>
      <c r="WM12" s="1547">
        <f>'План и исполнение'!WE12+'План и исполнение'!WG12</f>
        <v>-7717600</v>
      </c>
      <c r="WN12" s="1547">
        <f>'План и исполнение'!WF12+'План и исполнение'!WH12</f>
        <v>-5067600</v>
      </c>
      <c r="WO12" s="1154"/>
    </row>
    <row r="13" spans="1:613" s="340" customFormat="1" ht="25.5" customHeight="1" x14ac:dyDescent="0.3">
      <c r="A13" s="349" t="s">
        <v>80</v>
      </c>
      <c r="B13" s="542">
        <f>D13+AI13+'План и исполнение'!RA13+'План и исполнение'!SG13</f>
        <v>965095485.99000001</v>
      </c>
      <c r="C13" s="535">
        <f>E13+'План и исполнение'!RD13+AJ13+'План и исполнение'!SH13</f>
        <v>607351044.24000001</v>
      </c>
      <c r="D13" s="540">
        <f t="shared" si="0"/>
        <v>151339971</v>
      </c>
      <c r="E13" s="542">
        <f t="shared" si="1"/>
        <v>105166076</v>
      </c>
      <c r="F13" s="603">
        <f>'[1]Дотация  из  ОБ_факт'!M9</f>
        <v>16118400</v>
      </c>
      <c r="G13" s="1551">
        <v>8059204</v>
      </c>
      <c r="H13" s="1556">
        <f>'[1]Дотация  из  ОБ_факт'!G9</f>
        <v>111505000</v>
      </c>
      <c r="I13" s="1551">
        <v>83795017</v>
      </c>
      <c r="J13" s="604">
        <f t="shared" si="2"/>
        <v>44030000</v>
      </c>
      <c r="K13" s="611">
        <f t="shared" si="3"/>
        <v>22149238</v>
      </c>
      <c r="L13" s="891">
        <f>'[1]Дотация  из  ОБ_факт'!K9</f>
        <v>67475000</v>
      </c>
      <c r="M13" s="782">
        <v>61645779</v>
      </c>
      <c r="N13" s="603">
        <f>'[1]Дотация  из  ОБ_факт'!Q9</f>
        <v>2014500</v>
      </c>
      <c r="O13" s="1054">
        <v>2014500</v>
      </c>
      <c r="P13" s="603">
        <f>'[1]Дотация  из  ОБ_факт'!S9</f>
        <v>17624700</v>
      </c>
      <c r="Q13" s="1048">
        <v>9293355</v>
      </c>
      <c r="R13" s="611">
        <f t="shared" si="4"/>
        <v>15748100</v>
      </c>
      <c r="S13" s="605">
        <f t="shared" si="5"/>
        <v>8323555</v>
      </c>
      <c r="T13" s="891">
        <f>'[1]Дотация  из  ОБ_факт'!W9</f>
        <v>1876600</v>
      </c>
      <c r="U13" s="643">
        <v>969800</v>
      </c>
      <c r="V13" s="603">
        <f>'[1]Дотация  из  ОБ_факт'!AA9+'[1]Дотация  из  ОБ_факт'!AC9+'[1]Дотация  из  ОБ_факт'!AG9</f>
        <v>3873371</v>
      </c>
      <c r="W13" s="465">
        <f t="shared" si="6"/>
        <v>1800000</v>
      </c>
      <c r="X13" s="607">
        <v>1800000</v>
      </c>
      <c r="Y13" s="606"/>
      <c r="Z13" s="607"/>
      <c r="AA13" s="603">
        <f>'[1]Дотация  из  ОБ_факт'!Y9+'[1]Дотация  из  ОБ_факт'!AE9</f>
        <v>204000</v>
      </c>
      <c r="AB13" s="170">
        <f t="shared" si="7"/>
        <v>204000</v>
      </c>
      <c r="AC13" s="606">
        <v>204000</v>
      </c>
      <c r="AD13" s="607"/>
      <c r="AE13" s="604">
        <f t="shared" si="8"/>
        <v>204000</v>
      </c>
      <c r="AF13" s="611">
        <f t="shared" si="9"/>
        <v>204000</v>
      </c>
      <c r="AG13" s="604">
        <f>'[1]Дотация  из  ОБ_факт'!AE9</f>
        <v>0</v>
      </c>
      <c r="AH13" s="772"/>
      <c r="AI13" s="599">
        <f>'План и исполнение'!LQ13+'План и исполнение'!QS13+'План и исполнение'!QU13+CQ13+CS13+CY13+DA13+BS13+CA13+'План и исполнение'!JQ13+'План и исполнение'!KA13+'План и исполнение'!EC13+'План и исполнение'!LE13+DM13+'План и исполнение'!IM13+'План и исполнение'!IS13+'План и исполнение'!MM13+'План и исполнение'!MU13+IG13+'План и исполнение'!MA13+FK13+EY13+PO13+ES13+AK13+AU13+FE13+JK13+GG13+GQ13+DG13+PU13+FQ13+EI13+QA13+NY13+GA13+CM13+HU13+IA13+NS13</f>
        <v>168210688.99000001</v>
      </c>
      <c r="AJ13" s="504">
        <f>'План и исполнение'!LV13+'План и исполнение'!QT13+'План и исполнение'!QV13+CR13+CT13+CZ13+DB13+BW13+CE13+'План и исполнение'!JV13+'План и исполнение'!KF13+'План и исполнение'!EF13+'План и исполнение'!LK13+DU13+'План и исполнение'!IP13+'План и исполнение'!IV13+'План и исполнение'!MQ13+'План и исполнение'!MY13+IJ13+'План и исполнение'!ME13+FH13+FN13+FB13+PR13+EV13+AP13+AY13+JN13+GL13+GV13+DJ13+PX13+FT13+EN13+QD13+OF13+GD13+CO13+HX13+ID13+NV13</f>
        <v>70255118.349999994</v>
      </c>
      <c r="AK13" s="504">
        <f t="shared" si="10"/>
        <v>6800962.9500000002</v>
      </c>
      <c r="AL13" s="343">
        <f>[1]Субсидия_факт!DB11</f>
        <v>0</v>
      </c>
      <c r="AM13" s="516">
        <f>[1]Субсидия_факт!FF11</f>
        <v>0</v>
      </c>
      <c r="AN13" s="514">
        <f>[1]Субсидия_факт!FR11</f>
        <v>0</v>
      </c>
      <c r="AO13" s="516">
        <f>[1]Субсидия_факт!MZ11</f>
        <v>6800962.9500000002</v>
      </c>
      <c r="AP13" s="504">
        <f t="shared" si="11"/>
        <v>0</v>
      </c>
      <c r="AQ13" s="479"/>
      <c r="AR13" s="479"/>
      <c r="AS13" s="479"/>
      <c r="AT13" s="479"/>
      <c r="AU13" s="504">
        <f t="shared" si="12"/>
        <v>0</v>
      </c>
      <c r="AV13" s="469">
        <f>[1]Субсидия_факт!DD11</f>
        <v>0</v>
      </c>
      <c r="AW13" s="343">
        <f>[1]Субсидия_факт!FJ11</f>
        <v>0</v>
      </c>
      <c r="AX13" s="514">
        <f>[1]Субсидия_факт!NB11</f>
        <v>0</v>
      </c>
      <c r="AY13" s="504">
        <f t="shared" si="13"/>
        <v>0</v>
      </c>
      <c r="AZ13" s="547"/>
      <c r="BA13" s="547"/>
      <c r="BB13" s="548"/>
      <c r="BC13" s="697">
        <f t="shared" si="14"/>
        <v>0</v>
      </c>
      <c r="BD13" s="680">
        <f t="shared" si="15"/>
        <v>0</v>
      </c>
      <c r="BE13" s="469">
        <f t="shared" si="16"/>
        <v>0</v>
      </c>
      <c r="BF13" s="343">
        <f t="shared" si="17"/>
        <v>0</v>
      </c>
      <c r="BG13" s="697">
        <f t="shared" si="18"/>
        <v>0</v>
      </c>
      <c r="BH13" s="647">
        <f t="shared" si="19"/>
        <v>0</v>
      </c>
      <c r="BI13" s="514">
        <f t="shared" si="20"/>
        <v>0</v>
      </c>
      <c r="BJ13" s="343">
        <f t="shared" si="21"/>
        <v>0</v>
      </c>
      <c r="BK13" s="697">
        <f t="shared" si="22"/>
        <v>0</v>
      </c>
      <c r="BL13" s="469">
        <f>[1]Субсидия_факт!DF11</f>
        <v>0</v>
      </c>
      <c r="BM13" s="343">
        <f>[1]Субсидия_факт!FL11</f>
        <v>0</v>
      </c>
      <c r="BN13" s="469">
        <f>[1]Субсидия_факт!ND11</f>
        <v>0</v>
      </c>
      <c r="BO13" s="697">
        <f t="shared" si="23"/>
        <v>0</v>
      </c>
      <c r="BP13" s="548"/>
      <c r="BQ13" s="547"/>
      <c r="BR13" s="548"/>
      <c r="BS13" s="535">
        <f t="shared" ref="BS13:BS29" si="145">SUM(BT13:BV13)</f>
        <v>27870511</v>
      </c>
      <c r="BT13" s="449">
        <f>[1]Субсидия_факт!IL11</f>
        <v>0</v>
      </c>
      <c r="BU13" s="343">
        <f>[1]Субсидия_факт!IR11</f>
        <v>27870511</v>
      </c>
      <c r="BV13" s="529">
        <f>[1]Субсидия_факт!JD11</f>
        <v>0</v>
      </c>
      <c r="BW13" s="535">
        <f t="shared" ref="BW13:BW29" si="146">SUM(BX13:BZ13)</f>
        <v>3175096.66</v>
      </c>
      <c r="BX13" s="547"/>
      <c r="BY13" s="547">
        <v>3175096.66</v>
      </c>
      <c r="BZ13" s="650"/>
      <c r="CA13" s="535">
        <f t="shared" ref="CA13:CA29" si="147">SUM(CB13:CD13)</f>
        <v>37447154.780000001</v>
      </c>
      <c r="CB13" s="469">
        <f>[1]Субсидия_факт!IN11</f>
        <v>8447154.7799999993</v>
      </c>
      <c r="CC13" s="343">
        <f>[1]Субсидия_факт!IT11</f>
        <v>15000000</v>
      </c>
      <c r="CD13" s="529">
        <f>[1]Субсидия_факт!JF11</f>
        <v>14000000</v>
      </c>
      <c r="CE13" s="535">
        <f t="shared" ref="CE13:CE29" si="148">SUM(CF13:CH13)</f>
        <v>23525812.009999998</v>
      </c>
      <c r="CF13" s="547">
        <v>673915.95</v>
      </c>
      <c r="CG13" s="548">
        <v>8851896.0600000005</v>
      </c>
      <c r="CH13" s="760">
        <v>14000000</v>
      </c>
      <c r="CI13" s="546">
        <f t="shared" si="24"/>
        <v>0</v>
      </c>
      <c r="CJ13" s="544">
        <f t="shared" si="25"/>
        <v>0</v>
      </c>
      <c r="CK13" s="543">
        <f t="shared" ref="CK13:CK29" si="149">CA13</f>
        <v>37447154.780000001</v>
      </c>
      <c r="CL13" s="546">
        <f t="shared" ref="CL13:CL29" si="150">CE13</f>
        <v>23525812.009999998</v>
      </c>
      <c r="CM13" s="965">
        <f t="shared" ref="CM13:CO29" si="151">CN13</f>
        <v>0</v>
      </c>
      <c r="CN13" s="721">
        <f>[1]Субсидия_факт!FT11</f>
        <v>0</v>
      </c>
      <c r="CO13" s="965">
        <f t="shared" si="151"/>
        <v>0</v>
      </c>
      <c r="CP13" s="721"/>
      <c r="CQ13" s="534">
        <f>[1]Субсидия_факт!FV11</f>
        <v>0</v>
      </c>
      <c r="CR13" s="644"/>
      <c r="CS13" s="535">
        <f>[1]Субсидия_факт!FX11</f>
        <v>15065777.310000001</v>
      </c>
      <c r="CT13" s="644">
        <v>3803412.05</v>
      </c>
      <c r="CU13" s="610">
        <f t="shared" si="26"/>
        <v>0</v>
      </c>
      <c r="CV13" s="794">
        <f t="shared" si="27"/>
        <v>0</v>
      </c>
      <c r="CW13" s="610">
        <f>[1]Субсидия_факт!FZ11</f>
        <v>15065777.310000001</v>
      </c>
      <c r="CX13" s="1355">
        <f>CT13</f>
        <v>3803412.05</v>
      </c>
      <c r="CY13" s="542">
        <f>[1]Субсидия_факт!GB11</f>
        <v>0</v>
      </c>
      <c r="CZ13" s="341"/>
      <c r="DA13" s="534">
        <f>[1]Субсидия_факт!GD11</f>
        <v>5032587.97</v>
      </c>
      <c r="DB13" s="644">
        <f>1472075.28+0</f>
        <v>1472075.28</v>
      </c>
      <c r="DC13" s="544">
        <f t="shared" si="28"/>
        <v>0</v>
      </c>
      <c r="DD13" s="544">
        <f t="shared" si="29"/>
        <v>0</v>
      </c>
      <c r="DE13" s="691">
        <f>[1]Субсидия_факт!GF11</f>
        <v>5032587.97</v>
      </c>
      <c r="DF13" s="1609">
        <f>DB13</f>
        <v>1472075.28</v>
      </c>
      <c r="DG13" s="504">
        <f t="shared" si="30"/>
        <v>0</v>
      </c>
      <c r="DH13" s="529">
        <f>[1]Субсидия_факт!EV11</f>
        <v>0</v>
      </c>
      <c r="DI13" s="896">
        <f>[1]Субсидия_факт!EX11</f>
        <v>0</v>
      </c>
      <c r="DJ13" s="471">
        <f t="shared" si="31"/>
        <v>0</v>
      </c>
      <c r="DK13" s="809"/>
      <c r="DL13" s="1083"/>
      <c r="DM13" s="542">
        <f t="shared" si="32"/>
        <v>170260</v>
      </c>
      <c r="DN13" s="541">
        <f>[1]Субсидия_факт!R11</f>
        <v>0</v>
      </c>
      <c r="DO13" s="1210">
        <f>[1]Субсидия_факт!T11</f>
        <v>0</v>
      </c>
      <c r="DP13" s="713">
        <f>[1]Субсидия_факт!V11</f>
        <v>0</v>
      </c>
      <c r="DQ13" s="673">
        <f>[1]Субсидия_факт!X11</f>
        <v>0</v>
      </c>
      <c r="DR13" s="814">
        <f>[1]Субсидия_факт!Z11</f>
        <v>0</v>
      </c>
      <c r="DS13" s="516">
        <f>[1]Субсидия_факт!AB11</f>
        <v>0</v>
      </c>
      <c r="DT13" s="673">
        <f>[1]Субсидия_факт!AD11</f>
        <v>170260</v>
      </c>
      <c r="DU13" s="535">
        <f t="shared" si="33"/>
        <v>170260</v>
      </c>
      <c r="DV13" s="548"/>
      <c r="DW13" s="547"/>
      <c r="DX13" s="717"/>
      <c r="DY13" s="547"/>
      <c r="DZ13" s="717"/>
      <c r="EA13" s="548"/>
      <c r="EB13" s="1210">
        <f>DT13</f>
        <v>170260</v>
      </c>
      <c r="EC13" s="504">
        <f t="shared" si="34"/>
        <v>0</v>
      </c>
      <c r="ED13" s="529">
        <f>[1]Субсидия_факт!BN11</f>
        <v>0</v>
      </c>
      <c r="EE13" s="896">
        <f>[1]Субсидия_факт!BP11</f>
        <v>0</v>
      </c>
      <c r="EF13" s="471">
        <f t="shared" si="35"/>
        <v>0</v>
      </c>
      <c r="EG13" s="809"/>
      <c r="EH13" s="1083"/>
      <c r="EI13" s="542">
        <f t="shared" ref="EI13:EI29" si="152">SUM(EJ13:EM13)</f>
        <v>0</v>
      </c>
      <c r="EJ13" s="469">
        <f>[1]Субсидия_факт!AJ11</f>
        <v>0</v>
      </c>
      <c r="EK13" s="721">
        <f>[1]Субсидия_факт!AL11</f>
        <v>0</v>
      </c>
      <c r="EL13" s="449">
        <f>[1]Субсидия_факт!AN11</f>
        <v>0</v>
      </c>
      <c r="EM13" s="721">
        <f>[1]Субсидия_факт!AP11</f>
        <v>0</v>
      </c>
      <c r="EN13" s="535">
        <f t="shared" ref="EN13:EN29" si="153">SUM(EO13:ER13)</f>
        <v>0</v>
      </c>
      <c r="EO13" s="479"/>
      <c r="EP13" s="717"/>
      <c r="EQ13" s="479"/>
      <c r="ER13" s="717"/>
      <c r="ES13" s="504">
        <f t="shared" si="36"/>
        <v>0</v>
      </c>
      <c r="ET13" s="529">
        <f>[1]Субсидия_факт!AX11</f>
        <v>0</v>
      </c>
      <c r="EU13" s="789">
        <f>[1]Субсидия_факт!AZ11</f>
        <v>0</v>
      </c>
      <c r="EV13" s="471">
        <f t="shared" si="37"/>
        <v>0</v>
      </c>
      <c r="EW13" s="809"/>
      <c r="EX13" s="708"/>
      <c r="EY13" s="504">
        <f t="shared" si="38"/>
        <v>0</v>
      </c>
      <c r="EZ13" s="529">
        <f>[1]Субсидия_факт!BZ11</f>
        <v>0</v>
      </c>
      <c r="FA13" s="896">
        <f>[1]Субсидия_факт!CB11</f>
        <v>0</v>
      </c>
      <c r="FB13" s="471">
        <f t="shared" si="39"/>
        <v>0</v>
      </c>
      <c r="FC13" s="809"/>
      <c r="FD13" s="708"/>
      <c r="FE13" s="504">
        <f t="shared" si="40"/>
        <v>0</v>
      </c>
      <c r="FF13" s="529">
        <f>[1]Субсидия_факт!BR11</f>
        <v>0</v>
      </c>
      <c r="FG13" s="896">
        <f>[1]Субсидия_факт!BT11</f>
        <v>0</v>
      </c>
      <c r="FH13" s="471">
        <f t="shared" si="41"/>
        <v>0</v>
      </c>
      <c r="FI13" s="809"/>
      <c r="FJ13" s="708"/>
      <c r="FK13" s="504">
        <f t="shared" si="42"/>
        <v>0</v>
      </c>
      <c r="FL13" s="529">
        <f>[1]Субсидия_факт!KJ11</f>
        <v>0</v>
      </c>
      <c r="FM13" s="896">
        <f>[1]Субсидия_факт!KL11</f>
        <v>0</v>
      </c>
      <c r="FN13" s="471">
        <f t="shared" si="43"/>
        <v>0</v>
      </c>
      <c r="FO13" s="809"/>
      <c r="FP13" s="708"/>
      <c r="FQ13" s="504">
        <f t="shared" si="44"/>
        <v>0</v>
      </c>
      <c r="FR13" s="529">
        <f>[1]Субсидия_факт!KN11</f>
        <v>0</v>
      </c>
      <c r="FS13" s="896">
        <f>[1]Субсидия_факт!KR11</f>
        <v>0</v>
      </c>
      <c r="FT13" s="471">
        <f t="shared" si="45"/>
        <v>0</v>
      </c>
      <c r="FU13" s="809"/>
      <c r="FV13" s="708"/>
      <c r="FW13" s="695">
        <f t="shared" ref="FW13:FW29" si="154">FQ13-FY13</f>
        <v>0</v>
      </c>
      <c r="FX13" s="697">
        <f t="shared" ref="FX13:FX29" si="155">FT13-FZ13</f>
        <v>0</v>
      </c>
      <c r="FY13" s="695">
        <f t="shared" ref="FY13:FY29" si="156">FQ13</f>
        <v>0</v>
      </c>
      <c r="FZ13" s="697">
        <f t="shared" ref="FZ13:FZ29" si="157">FT13</f>
        <v>0</v>
      </c>
      <c r="GA13" s="504">
        <f t="shared" ref="GA13:GA29" si="158">SUM(GB13:GC13)</f>
        <v>0</v>
      </c>
      <c r="GB13" s="1374">
        <f>[1]Субсидия_факт!BJ11</f>
        <v>0</v>
      </c>
      <c r="GC13" s="706">
        <f>[1]Субсидия_факт!BL11</f>
        <v>0</v>
      </c>
      <c r="GD13" s="504">
        <f t="shared" ref="GD13:GD29" si="159">SUM(GE13:GF13)</f>
        <v>0</v>
      </c>
      <c r="GE13" s="760"/>
      <c r="GF13" s="708"/>
      <c r="GG13" s="504">
        <f t="shared" si="46"/>
        <v>0</v>
      </c>
      <c r="GH13" s="760"/>
      <c r="GI13" s="708"/>
      <c r="GJ13" s="529"/>
      <c r="GK13" s="896"/>
      <c r="GL13" s="471">
        <f t="shared" si="47"/>
        <v>0</v>
      </c>
      <c r="GM13" s="760"/>
      <c r="GN13" s="708"/>
      <c r="GO13" s="760"/>
      <c r="GP13" s="708"/>
      <c r="GQ13" s="471">
        <f t="shared" ref="GQ13:GQ29" si="160">SUM(GR13:GU13)</f>
        <v>400929.06</v>
      </c>
      <c r="GR13" s="1374">
        <f>[1]Субсидия_факт!GJ11</f>
        <v>0</v>
      </c>
      <c r="GS13" s="706">
        <f>[1]Субсидия_факт!GN11</f>
        <v>0</v>
      </c>
      <c r="GT13" s="529">
        <f>[1]Субсидия_факт!GX11</f>
        <v>235312.98</v>
      </c>
      <c r="GU13" s="896">
        <f>[1]Субсидия_факт!HB11</f>
        <v>165616.07999999999</v>
      </c>
      <c r="GV13" s="471">
        <f t="shared" ref="GV13:GV29" si="161">SUM(GW13:GZ13)</f>
        <v>0</v>
      </c>
      <c r="GW13" s="760"/>
      <c r="GX13" s="708"/>
      <c r="GY13" s="760"/>
      <c r="GZ13" s="708"/>
      <c r="HA13" s="695">
        <f t="shared" ref="HA13:HA29" si="162">SUM(HB13:HE13)</f>
        <v>0</v>
      </c>
      <c r="HB13" s="1374">
        <f t="shared" si="48"/>
        <v>0</v>
      </c>
      <c r="HC13" s="1375">
        <f t="shared" si="49"/>
        <v>0</v>
      </c>
      <c r="HD13" s="529">
        <f t="shared" si="50"/>
        <v>0</v>
      </c>
      <c r="HE13" s="896">
        <f t="shared" si="51"/>
        <v>0</v>
      </c>
      <c r="HF13" s="695">
        <f t="shared" ref="HF13:HF29" si="163">SUM(HG13:HJ13)</f>
        <v>0</v>
      </c>
      <c r="HG13" s="1374">
        <f t="shared" si="52"/>
        <v>0</v>
      </c>
      <c r="HH13" s="1375">
        <f t="shared" si="53"/>
        <v>0</v>
      </c>
      <c r="HI13" s="529">
        <f t="shared" si="54"/>
        <v>0</v>
      </c>
      <c r="HJ13" s="896">
        <f t="shared" si="55"/>
        <v>0</v>
      </c>
      <c r="HK13" s="695">
        <f t="shared" ref="HK13:HK29" si="164">SUM(HL13:HO13)</f>
        <v>400929.06</v>
      </c>
      <c r="HL13" s="1374">
        <f>[1]Субсидия_факт!GL11</f>
        <v>0</v>
      </c>
      <c r="HM13" s="706">
        <f>[1]Субсидия_факт!GP11</f>
        <v>0</v>
      </c>
      <c r="HN13" s="529">
        <f>[1]Субсидия_факт!GZ11</f>
        <v>235312.98</v>
      </c>
      <c r="HO13" s="896">
        <f>[1]Субсидия_факт!HD11</f>
        <v>165616.07999999999</v>
      </c>
      <c r="HP13" s="695">
        <f t="shared" ref="HP13:HP29" si="165">SUM(HQ13:HT13)</f>
        <v>0</v>
      </c>
      <c r="HQ13" s="760"/>
      <c r="HR13" s="708"/>
      <c r="HS13" s="760"/>
      <c r="HT13" s="708"/>
      <c r="HU13" s="542">
        <f t="shared" si="56"/>
        <v>0</v>
      </c>
      <c r="HV13" s="531">
        <f>[1]Субсидия_факт!N11</f>
        <v>0</v>
      </c>
      <c r="HW13" s="789">
        <f>[1]Субсидия_факт!P11</f>
        <v>0</v>
      </c>
      <c r="HX13" s="535">
        <f t="shared" si="57"/>
        <v>0</v>
      </c>
      <c r="HY13" s="547"/>
      <c r="HZ13" s="739"/>
      <c r="IA13" s="542">
        <f t="shared" si="58"/>
        <v>0</v>
      </c>
      <c r="IB13" s="541">
        <f>[1]Субсидия_факт!DZ11</f>
        <v>0</v>
      </c>
      <c r="IC13" s="721">
        <f>[1]Субсидия_факт!EB11</f>
        <v>0</v>
      </c>
      <c r="ID13" s="534">
        <f t="shared" si="59"/>
        <v>0</v>
      </c>
      <c r="IE13" s="547"/>
      <c r="IF13" s="739"/>
      <c r="IG13" s="542">
        <f t="shared" ref="IG13:IG29" si="166">SUM(IH13:II13)</f>
        <v>0</v>
      </c>
      <c r="IH13" s="531">
        <f>[1]Субсидия_факт!EP11</f>
        <v>0</v>
      </c>
      <c r="II13" s="789">
        <f>[1]Субсидия_факт!ER11</f>
        <v>0</v>
      </c>
      <c r="IJ13" s="535">
        <f t="shared" ref="IJ13:IJ29" si="167">SUM(IK13:IL13)</f>
        <v>0</v>
      </c>
      <c r="IK13" s="547"/>
      <c r="IL13" s="739"/>
      <c r="IM13" s="599">
        <f t="shared" si="62"/>
        <v>0</v>
      </c>
      <c r="IN13" s="529">
        <f>[1]Субсидия_факт!ED11</f>
        <v>0</v>
      </c>
      <c r="IO13" s="896">
        <f>[1]Субсидия_факт!EJ11</f>
        <v>0</v>
      </c>
      <c r="IP13" s="471">
        <f t="shared" si="63"/>
        <v>0</v>
      </c>
      <c r="IQ13" s="760"/>
      <c r="IR13" s="708"/>
      <c r="IS13" s="471">
        <f t="shared" si="64"/>
        <v>1222765.6200000001</v>
      </c>
      <c r="IT13" s="529">
        <f>[1]Субсидия_факт!EF11</f>
        <v>342376.05000000005</v>
      </c>
      <c r="IU13" s="789">
        <f>[1]Субсидия_факт!EL11</f>
        <v>880389.57000000007</v>
      </c>
      <c r="IV13" s="471">
        <f t="shared" si="65"/>
        <v>1222765.6200000001</v>
      </c>
      <c r="IW13" s="793">
        <f>IT13</f>
        <v>342376.05000000005</v>
      </c>
      <c r="IX13" s="830">
        <f>IU13</f>
        <v>880389.57000000007</v>
      </c>
      <c r="IY13" s="697">
        <f t="shared" si="66"/>
        <v>711064.79</v>
      </c>
      <c r="IZ13" s="787">
        <f>'План и исполнение'!IT13-'План и исполнение'!JF13</f>
        <v>199099.11000000004</v>
      </c>
      <c r="JA13" s="706">
        <f>'План и исполнение'!IU13-'План и исполнение'!JG13</f>
        <v>511965.68000000005</v>
      </c>
      <c r="JB13" s="691">
        <f t="shared" si="67"/>
        <v>711064.79</v>
      </c>
      <c r="JC13" s="793">
        <f>'План и исполнение'!IW13-'План и исполнение'!JI13</f>
        <v>199099.11000000004</v>
      </c>
      <c r="JD13" s="804">
        <f>'План и исполнение'!IX13-'План и исполнение'!JJ13</f>
        <v>511965.68000000005</v>
      </c>
      <c r="JE13" s="697">
        <f t="shared" si="68"/>
        <v>511700.83</v>
      </c>
      <c r="JF13" s="529">
        <f>[1]Субсидия_факт!EH11</f>
        <v>143276.94</v>
      </c>
      <c r="JG13" s="896">
        <f>[1]Субсидия_факт!EN11</f>
        <v>368423.89</v>
      </c>
      <c r="JH13" s="697">
        <f t="shared" si="69"/>
        <v>511700.83</v>
      </c>
      <c r="JI13" s="529">
        <f>JF13</f>
        <v>143276.94</v>
      </c>
      <c r="JJ13" s="789">
        <f>JG13</f>
        <v>368423.89</v>
      </c>
      <c r="JK13" s="471">
        <f t="shared" si="70"/>
        <v>0</v>
      </c>
      <c r="JL13" s="793">
        <f>[1]Субсидия_факт!AR11</f>
        <v>0</v>
      </c>
      <c r="JM13" s="706">
        <f>[1]Субсидия_факт!AT11</f>
        <v>0</v>
      </c>
      <c r="JN13" s="471">
        <f t="shared" si="71"/>
        <v>0</v>
      </c>
      <c r="JO13" s="650"/>
      <c r="JP13" s="708"/>
      <c r="JQ13" s="785">
        <f t="shared" si="72"/>
        <v>0</v>
      </c>
      <c r="JR13" s="793">
        <f>[1]Субсидия_факт!CJ11</f>
        <v>0</v>
      </c>
      <c r="JS13" s="706">
        <f>[1]Субсидия_факт!CP11</f>
        <v>0</v>
      </c>
      <c r="JT13" s="529">
        <f>[1]Субсидия_факт!DN11</f>
        <v>0</v>
      </c>
      <c r="JU13" s="896">
        <f>[1]Субсидия_факт!DT11</f>
        <v>0</v>
      </c>
      <c r="JV13" s="471">
        <f t="shared" si="73"/>
        <v>0</v>
      </c>
      <c r="JW13" s="650"/>
      <c r="JX13" s="708"/>
      <c r="JY13" s="650"/>
      <c r="JZ13" s="892"/>
      <c r="KA13" s="785">
        <f t="shared" si="74"/>
        <v>0</v>
      </c>
      <c r="KB13" s="793">
        <f>[1]Субсидия_факт!CL11</f>
        <v>0</v>
      </c>
      <c r="KC13" s="706">
        <f>[1]Субсидия_факт!CR11</f>
        <v>0</v>
      </c>
      <c r="KD13" s="529">
        <f>[1]Субсидия_факт!DP11</f>
        <v>0</v>
      </c>
      <c r="KE13" s="896">
        <f>[1]Субсидия_факт!DV11</f>
        <v>0</v>
      </c>
      <c r="KF13" s="471">
        <f t="shared" si="75"/>
        <v>0</v>
      </c>
      <c r="KG13" s="650"/>
      <c r="KH13" s="708"/>
      <c r="KI13" s="809"/>
      <c r="KJ13" s="708"/>
      <c r="KK13" s="788">
        <f t="shared" si="76"/>
        <v>0</v>
      </c>
      <c r="KL13" s="793">
        <f>'План и исполнение'!KB13-KV13</f>
        <v>0</v>
      </c>
      <c r="KM13" s="706">
        <f>'План и исполнение'!KC13-KW13</f>
        <v>0</v>
      </c>
      <c r="KN13" s="787">
        <f>'План и исполнение'!KD13-KX13</f>
        <v>0</v>
      </c>
      <c r="KO13" s="706">
        <f>'План и исполнение'!KE13-KY13</f>
        <v>0</v>
      </c>
      <c r="KP13" s="788">
        <f t="shared" si="77"/>
        <v>0</v>
      </c>
      <c r="KQ13" s="793">
        <f>'План и исполнение'!KG13-LA13</f>
        <v>0</v>
      </c>
      <c r="KR13" s="830">
        <f>'План и исполнение'!KH13-LB13</f>
        <v>0</v>
      </c>
      <c r="KS13" s="793">
        <f>'План и исполнение'!KI13-LC13</f>
        <v>0</v>
      </c>
      <c r="KT13" s="804">
        <f>'План и исполнение'!KJ13-LD13</f>
        <v>0</v>
      </c>
      <c r="KU13" s="697">
        <f t="shared" si="78"/>
        <v>0</v>
      </c>
      <c r="KV13" s="793">
        <f>[1]Субсидия_факт!CN11</f>
        <v>0</v>
      </c>
      <c r="KW13" s="706">
        <f>[1]Субсидия_факт!CT11</f>
        <v>0</v>
      </c>
      <c r="KX13" s="529">
        <f>[1]Субсидия_факт!DR11</f>
        <v>0</v>
      </c>
      <c r="KY13" s="896">
        <f>[1]Субсидия_факт!DX11</f>
        <v>0</v>
      </c>
      <c r="KZ13" s="697">
        <f t="shared" si="79"/>
        <v>0</v>
      </c>
      <c r="LA13" s="650"/>
      <c r="LB13" s="708"/>
      <c r="LC13" s="531"/>
      <c r="LD13" s="1639"/>
      <c r="LE13" s="504">
        <f t="shared" ref="LE13:LE29" si="168">SUM(LF13:LJ13)</f>
        <v>0</v>
      </c>
      <c r="LF13" s="529">
        <f>[1]Субсидия_факт!CD11</f>
        <v>0</v>
      </c>
      <c r="LG13" s="789">
        <f>[1]Субсидия_факт!CF11</f>
        <v>0</v>
      </c>
      <c r="LH13" s="529">
        <f>[1]Субсидия_факт!BV11</f>
        <v>0</v>
      </c>
      <c r="LI13" s="789">
        <f>[1]Субсидия_факт!BX11</f>
        <v>0</v>
      </c>
      <c r="LJ13" s="529">
        <f>[1]Субсидия_факт!CH11</f>
        <v>0</v>
      </c>
      <c r="LK13" s="471">
        <f t="shared" ref="LK13:LK29" si="169">SUM(LL13:LP13)</f>
        <v>0</v>
      </c>
      <c r="LL13" s="650"/>
      <c r="LM13" s="708"/>
      <c r="LN13" s="650"/>
      <c r="LO13" s="708"/>
      <c r="LP13" s="650"/>
      <c r="LQ13" s="504">
        <f t="shared" si="80"/>
        <v>0</v>
      </c>
      <c r="LR13" s="516">
        <f>[1]Субсидия_факт!HN11</f>
        <v>0</v>
      </c>
      <c r="LS13" s="529">
        <f>[1]Субсидия_факт!HL11</f>
        <v>0</v>
      </c>
      <c r="LT13" s="541">
        <f>[1]Субсидия_факт!HV11</f>
        <v>0</v>
      </c>
      <c r="LU13" s="721">
        <f>[1]Субсидия_факт!HX11</f>
        <v>0</v>
      </c>
      <c r="LV13" s="471">
        <f t="shared" si="81"/>
        <v>0</v>
      </c>
      <c r="LW13" s="344"/>
      <c r="LX13" s="650"/>
      <c r="LY13" s="479"/>
      <c r="LZ13" s="717"/>
      <c r="MA13" s="471">
        <f t="shared" si="82"/>
        <v>0</v>
      </c>
      <c r="MB13" s="531">
        <f>[1]Субсидия_факт!HT11</f>
        <v>0</v>
      </c>
      <c r="MC13" s="531">
        <f>[1]Субсидия_факт!HP11</f>
        <v>0</v>
      </c>
      <c r="MD13" s="789">
        <f>[1]Субсидия_факт!HR11</f>
        <v>0</v>
      </c>
      <c r="ME13" s="471">
        <f t="shared" si="83"/>
        <v>0</v>
      </c>
      <c r="MF13" s="793">
        <f t="shared" ref="MF13:MF29" si="170">MB13</f>
        <v>0</v>
      </c>
      <c r="MG13" s="650"/>
      <c r="MH13" s="708"/>
      <c r="MI13" s="893">
        <f t="shared" si="84"/>
        <v>0</v>
      </c>
      <c r="MJ13" s="893">
        <f t="shared" si="85"/>
        <v>0</v>
      </c>
      <c r="MK13" s="695">
        <f t="shared" si="86"/>
        <v>0</v>
      </c>
      <c r="ML13" s="1028">
        <f t="shared" si="87"/>
        <v>0</v>
      </c>
      <c r="MM13" s="791">
        <f>SUM(MN13:MO13)</f>
        <v>0</v>
      </c>
      <c r="MN13" s="529">
        <f>[1]Субсидия_факт!LH11</f>
        <v>0</v>
      </c>
      <c r="MO13" s="896">
        <f>[1]Субсидия_факт!LN11</f>
        <v>0</v>
      </c>
      <c r="MP13" s="531"/>
      <c r="MQ13" s="791">
        <f t="shared" ref="MQ13:MQ29" si="171">SUM(MR13:MT13)</f>
        <v>0</v>
      </c>
      <c r="MR13" s="809"/>
      <c r="MS13" s="708"/>
      <c r="MT13" s="531"/>
      <c r="MU13" s="791">
        <f t="shared" ref="MU13:MU29" si="172">SUM(MV13:MX13)</f>
        <v>30000000</v>
      </c>
      <c r="MV13" s="529">
        <f>[1]Субсидия_факт!LJ11</f>
        <v>870000</v>
      </c>
      <c r="MW13" s="896">
        <f>[1]Субсидия_факт!LP11</f>
        <v>16530000</v>
      </c>
      <c r="MX13" s="531">
        <f>[1]Субсидия_факт!LT11</f>
        <v>12600000</v>
      </c>
      <c r="MY13" s="791">
        <f t="shared" ref="MY13:MY29" si="173">SUM(MZ13:NB13)</f>
        <v>30000000</v>
      </c>
      <c r="MZ13" s="650">
        <v>870000</v>
      </c>
      <c r="NA13" s="808">
        <v>16530000</v>
      </c>
      <c r="NB13" s="531">
        <f t="shared" ref="NB13:NB27" si="174">MX13</f>
        <v>12600000</v>
      </c>
      <c r="NC13" s="792">
        <f t="shared" ref="NC13:NC29" si="175">SUM(ND13:NF13)</f>
        <v>7000000</v>
      </c>
      <c r="ND13" s="680">
        <f>'План и исполнение'!MV13-NL13</f>
        <v>0</v>
      </c>
      <c r="NE13" s="713">
        <f>'План и исполнение'!MW13-NM13</f>
        <v>0</v>
      </c>
      <c r="NF13" s="647">
        <f>'План и исполнение'!MX13-NN13</f>
        <v>7000000</v>
      </c>
      <c r="NG13" s="792">
        <f t="shared" ref="NG13:NG29" si="176">SUM(NH13:NJ13)</f>
        <v>7000000</v>
      </c>
      <c r="NH13" s="787">
        <f>'План и исполнение'!MZ13-NP13</f>
        <v>0</v>
      </c>
      <c r="NI13" s="706">
        <f>'План и исполнение'!NA13-NQ13</f>
        <v>0</v>
      </c>
      <c r="NJ13" s="793">
        <f>'План и исполнение'!NB13-NR13</f>
        <v>7000000</v>
      </c>
      <c r="NK13" s="792">
        <f t="shared" ref="NK13:NK29" si="177">SUM(NL13:NN13)</f>
        <v>23000000</v>
      </c>
      <c r="NL13" s="529">
        <f>[1]Субсидия_факт!LL11</f>
        <v>870000</v>
      </c>
      <c r="NM13" s="896">
        <f>[1]Субсидия_факт!LR11</f>
        <v>16530000</v>
      </c>
      <c r="NN13" s="529">
        <f>[1]Субсидия_факт!LV11</f>
        <v>5600000</v>
      </c>
      <c r="NO13" s="792">
        <f t="shared" ref="NO13:NO29" si="178">SUM(NP13:NR13)</f>
        <v>23000000</v>
      </c>
      <c r="NP13" s="787">
        <f t="shared" ref="NP13:NP29" si="179">MZ13</f>
        <v>870000</v>
      </c>
      <c r="NQ13" s="706">
        <f t="shared" ref="NQ13:NQ29" si="180">NA13</f>
        <v>16530000</v>
      </c>
      <c r="NR13" s="529">
        <f>NN13</f>
        <v>5600000</v>
      </c>
      <c r="NS13" s="535">
        <f t="shared" ref="NS13:NS29" si="181">SUM(NT13:NU13)</f>
        <v>0</v>
      </c>
      <c r="NT13" s="1285">
        <f>[1]Субсидия_факт!NF11</f>
        <v>0</v>
      </c>
      <c r="NU13" s="713">
        <f>[1]Субсидия_факт!NH11</f>
        <v>0</v>
      </c>
      <c r="NV13" s="535">
        <f t="shared" ref="NV13:NV29" si="182">SUM(NW13:NX13)</f>
        <v>0</v>
      </c>
      <c r="NW13" s="344"/>
      <c r="NX13" s="739"/>
      <c r="NY13" s="535">
        <f t="shared" ref="NY13:NY29" si="183">SUM(NZ13:OE13)</f>
        <v>1077551.2999999998</v>
      </c>
      <c r="NZ13" s="1194">
        <f>[1]Субсидия_факт!LX11</f>
        <v>0</v>
      </c>
      <c r="OA13" s="1295">
        <f>[1]Субсидия_факт!MB11</f>
        <v>0</v>
      </c>
      <c r="OB13" s="1194">
        <f>[1]Субсидия_факт!MF11</f>
        <v>301714.36</v>
      </c>
      <c r="OC13" s="713">
        <f>[1]Субсидия_факт!MJ11</f>
        <v>775836.94</v>
      </c>
      <c r="OD13" s="1285">
        <f>[1]Субсидия_факт!NJ11</f>
        <v>0</v>
      </c>
      <c r="OE13" s="713">
        <f>[1]Субсидия_факт!NN11</f>
        <v>0</v>
      </c>
      <c r="OF13" s="535">
        <f t="shared" ref="OF13:OF29" si="184">SUM(OG13:OL13)</f>
        <v>0</v>
      </c>
      <c r="OG13" s="493"/>
      <c r="OH13" s="746"/>
      <c r="OI13" s="344"/>
      <c r="OJ13" s="739"/>
      <c r="OK13" s="493"/>
      <c r="OL13" s="746"/>
      <c r="OM13" s="610">
        <f t="shared" ref="OM13:OM29" si="185">SUM(ON13:OS13)</f>
        <v>1077551.2999999998</v>
      </c>
      <c r="ON13" s="1194">
        <f t="shared" si="88"/>
        <v>0</v>
      </c>
      <c r="OO13" s="713">
        <f t="shared" si="89"/>
        <v>0</v>
      </c>
      <c r="OP13" s="493">
        <f t="shared" si="90"/>
        <v>301714.36</v>
      </c>
      <c r="OQ13" s="713">
        <f t="shared" si="91"/>
        <v>775836.94</v>
      </c>
      <c r="OR13" s="1285">
        <f t="shared" si="92"/>
        <v>0</v>
      </c>
      <c r="OS13" s="713">
        <f t="shared" si="93"/>
        <v>0</v>
      </c>
      <c r="OT13" s="610">
        <f t="shared" ref="OT13:OT29" si="186">SUM(OU13:OZ13)</f>
        <v>0</v>
      </c>
      <c r="OU13" s="1194">
        <f t="shared" si="94"/>
        <v>0</v>
      </c>
      <c r="OV13" s="713">
        <f t="shared" si="95"/>
        <v>0</v>
      </c>
      <c r="OW13" s="493">
        <f t="shared" si="96"/>
        <v>0</v>
      </c>
      <c r="OX13" s="713">
        <f t="shared" si="97"/>
        <v>0</v>
      </c>
      <c r="OY13" s="1285">
        <f t="shared" si="98"/>
        <v>0</v>
      </c>
      <c r="OZ13" s="713">
        <f t="shared" si="99"/>
        <v>0</v>
      </c>
      <c r="PA13" s="610">
        <f t="shared" ref="PA13:PA29" si="187">SUM(PB13:PG13)</f>
        <v>0</v>
      </c>
      <c r="PB13" s="1194">
        <f>[1]Субсидия_факт!LZ11</f>
        <v>0</v>
      </c>
      <c r="PC13" s="1295">
        <f>[1]Субсидия_факт!MD11</f>
        <v>0</v>
      </c>
      <c r="PD13" s="1194">
        <f>[1]Субсидия_факт!MH11</f>
        <v>0</v>
      </c>
      <c r="PE13" s="713">
        <f>[1]Субсидия_факт!ML11</f>
        <v>0</v>
      </c>
      <c r="PF13" s="991">
        <f>[1]Субсидия_факт!NL11</f>
        <v>0</v>
      </c>
      <c r="PG13" s="801">
        <f>[1]Субсидия_факт!NP11</f>
        <v>0</v>
      </c>
      <c r="PH13" s="610">
        <f t="shared" ref="PH13:PH29" si="188">SUM(PI13:PN13)</f>
        <v>0</v>
      </c>
      <c r="PI13" s="991"/>
      <c r="PJ13" s="746"/>
      <c r="PK13" s="493"/>
      <c r="PL13" s="746"/>
      <c r="PM13" s="493"/>
      <c r="PN13" s="746"/>
      <c r="PO13" s="504">
        <f t="shared" si="100"/>
        <v>0</v>
      </c>
      <c r="PP13" s="529">
        <f>[1]Субсидия_факт!AF11</f>
        <v>0</v>
      </c>
      <c r="PQ13" s="896">
        <f>[1]Субсидия_факт!AH11</f>
        <v>0</v>
      </c>
      <c r="PR13" s="471">
        <f t="shared" si="101"/>
        <v>0</v>
      </c>
      <c r="PS13" s="809"/>
      <c r="PT13" s="708"/>
      <c r="PU13" s="535">
        <f t="shared" si="102"/>
        <v>8176527.7799999993</v>
      </c>
      <c r="PV13" s="673">
        <f>[1]Субсидия_факт!MN11</f>
        <v>2289427.7799999998</v>
      </c>
      <c r="PW13" s="814">
        <f>[1]Субсидия_факт!MP11</f>
        <v>5887100</v>
      </c>
      <c r="PX13" s="535">
        <f t="shared" si="103"/>
        <v>0</v>
      </c>
      <c r="PY13" s="1377"/>
      <c r="PZ13" s="717"/>
      <c r="QA13" s="535">
        <f t="shared" si="104"/>
        <v>0</v>
      </c>
      <c r="QB13" s="1194">
        <f>[1]Субсидия_факт!MR11</f>
        <v>0</v>
      </c>
      <c r="QC13" s="713">
        <f>[1]Субсидия_факт!MV11</f>
        <v>0</v>
      </c>
      <c r="QD13" s="535">
        <f t="shared" si="105"/>
        <v>0</v>
      </c>
      <c r="QE13" s="479"/>
      <c r="QF13" s="717"/>
      <c r="QG13" s="610">
        <f t="shared" si="106"/>
        <v>0</v>
      </c>
      <c r="QH13" s="1194">
        <f t="shared" si="107"/>
        <v>0</v>
      </c>
      <c r="QI13" s="713">
        <f t="shared" si="108"/>
        <v>0</v>
      </c>
      <c r="QJ13" s="610">
        <f t="shared" si="109"/>
        <v>0</v>
      </c>
      <c r="QK13" s="1194">
        <f t="shared" si="110"/>
        <v>0</v>
      </c>
      <c r="QL13" s="713">
        <f t="shared" si="111"/>
        <v>0</v>
      </c>
      <c r="QM13" s="610">
        <f t="shared" si="112"/>
        <v>0</v>
      </c>
      <c r="QN13" s="1210">
        <f>[1]Субсидия_факт!MT11</f>
        <v>0</v>
      </c>
      <c r="QO13" s="713">
        <f>[1]Субсидия_факт!MX11</f>
        <v>0</v>
      </c>
      <c r="QP13" s="610">
        <f t="shared" si="113"/>
        <v>0</v>
      </c>
      <c r="QQ13" s="479"/>
      <c r="QR13" s="717"/>
      <c r="QS13" s="535">
        <f>'Прочая  субсидия_МР  и  ГО'!B9</f>
        <v>9847008.8500000015</v>
      </c>
      <c r="QT13" s="535">
        <f>'Прочая  субсидия_МР  и  ГО'!C9</f>
        <v>6200778.7299999995</v>
      </c>
      <c r="QU13" s="540">
        <f>'Прочая  субсидия_БП'!B9</f>
        <v>25098652.370000001</v>
      </c>
      <c r="QV13" s="542">
        <f>'Прочая  субсидия_БП'!C9</f>
        <v>684918</v>
      </c>
      <c r="QW13" s="605">
        <f>'Прочая  субсидия_БП'!D9</f>
        <v>2508150.11</v>
      </c>
      <c r="QX13" s="604">
        <f>'Прочая  субсидия_БП'!E9</f>
        <v>508150.11</v>
      </c>
      <c r="QY13" s="611">
        <f>'Прочая  субсидия_БП'!F9</f>
        <v>22590502.260000002</v>
      </c>
      <c r="QZ13" s="605">
        <f>'Прочая  субсидия_БП'!G9</f>
        <v>176767.89</v>
      </c>
      <c r="RA13" s="542">
        <f t="shared" ref="RA13:RA29" si="189">SUM(RB13:RC13)</f>
        <v>630544826</v>
      </c>
      <c r="RB13" s="469">
        <f>'План и исполнение'!RZ13+'План и исполнение'!RG13+'План и исполнение'!RI13+'План и исполнение'!RK13</f>
        <v>623730559</v>
      </c>
      <c r="RC13" s="343">
        <f>'План и исполнение'!SB13+'План и исполнение'!RM13+'План и исполнение'!RS13+'План и исполнение'!RO13+'План и исполнение'!RQ13+RU13+RW13+SA13</f>
        <v>6814267</v>
      </c>
      <c r="RD13" s="534">
        <f t="shared" ref="RD13:RD29" si="190">SUM(RE13:RF13)</f>
        <v>416929849.88999999</v>
      </c>
      <c r="RE13" s="541">
        <f>'План и исполнение'!SD13+'План и исполнение'!RH13+'План и исполнение'!RJ13+'План и исполнение'!RL13</f>
        <v>412340717</v>
      </c>
      <c r="RF13" s="343">
        <f>'План и исполнение'!SF13+'План и исполнение'!RN13+'План и исполнение'!RT13+'План и исполнение'!RP13+'План и исполнение'!RR13+RV13+RX13+SE13</f>
        <v>4589132.8900000006</v>
      </c>
      <c r="RG13" s="599">
        <f>'Субвенция  на  полномочия'!B9</f>
        <v>598167459</v>
      </c>
      <c r="RH13" s="471">
        <f>'Субвенция  на  полномочия'!C9</f>
        <v>398372717</v>
      </c>
      <c r="RI13" s="768">
        <f>[1]Субвенция_факт!P10*1000</f>
        <v>21298000</v>
      </c>
      <c r="RJ13" s="771">
        <v>10200000</v>
      </c>
      <c r="RK13" s="768">
        <f>[1]Субвенция_факт!K10*1000</f>
        <v>2794100</v>
      </c>
      <c r="RL13" s="771">
        <v>2600000</v>
      </c>
      <c r="RM13" s="768">
        <f>[1]Субвенция_факт!AF10*1000</f>
        <v>1999800</v>
      </c>
      <c r="RN13" s="771">
        <v>829030.62</v>
      </c>
      <c r="RO13" s="768">
        <f>[1]Субвенция_факт!AG10*1000</f>
        <v>0</v>
      </c>
      <c r="RP13" s="771">
        <v>0</v>
      </c>
      <c r="RQ13" s="768">
        <f>[1]Субвенция_факт!E10*1000</f>
        <v>0</v>
      </c>
      <c r="RR13" s="771"/>
      <c r="RS13" s="768">
        <f>[1]Субвенция_факт!F10*1000</f>
        <v>714467</v>
      </c>
      <c r="RT13" s="877">
        <v>674244</v>
      </c>
      <c r="RU13" s="168">
        <f>[1]Субвенция_факт!G10*1000</f>
        <v>0</v>
      </c>
      <c r="RV13" s="1241"/>
      <c r="RW13" s="168">
        <f>[1]Субвенция_факт!H10*1000</f>
        <v>0</v>
      </c>
      <c r="RX13" s="878"/>
      <c r="RY13" s="504">
        <f t="shared" ref="RY13:RY29" si="191">RZ13+SB13+SA13</f>
        <v>5571000</v>
      </c>
      <c r="RZ13" s="887">
        <f>[1]Субвенция_факт!AE10*1000</f>
        <v>1471000</v>
      </c>
      <c r="SA13" s="882">
        <f>[1]Субвенция_факт!AD10*1000</f>
        <v>0</v>
      </c>
      <c r="SB13" s="1158">
        <f>[1]Субвенция_факт!AC10*1000</f>
        <v>4100000</v>
      </c>
      <c r="SC13" s="535">
        <f t="shared" si="116"/>
        <v>4253858.2699999996</v>
      </c>
      <c r="SD13" s="974">
        <v>1168000</v>
      </c>
      <c r="SE13" s="1645"/>
      <c r="SF13" s="1652">
        <v>3085858.27</v>
      </c>
      <c r="SG13" s="279">
        <f>'План и исполнение'!VI13+'План и исполнение'!VA13+'План и исполнение'!TA13+'План и исполнение'!TE13+UO13+UU13+SO13+SS13+TM13+TQ13+UE13+SI13+TY13</f>
        <v>15000000</v>
      </c>
      <c r="SH13" s="168">
        <f>'План и исполнение'!VK13+'План и исполнение'!VE13+'План и исполнение'!TC13+'План и исполнение'!TG13+UR13+UX13+SQ13+SU13+TO13+TS13+UH13+SL13+UB13</f>
        <v>15000000</v>
      </c>
      <c r="SI13" s="540">
        <f t="shared" si="117"/>
        <v>0</v>
      </c>
      <c r="SJ13" s="887">
        <f>'[1]Иные межбюджетные трансферты'!E11</f>
        <v>0</v>
      </c>
      <c r="SK13" s="945">
        <f>'[1]Иные межбюджетные трансферты'!G11</f>
        <v>0</v>
      </c>
      <c r="SL13" s="535">
        <f t="shared" si="118"/>
        <v>0</v>
      </c>
      <c r="SM13" s="1323"/>
      <c r="SN13" s="1464"/>
      <c r="SO13" s="1335">
        <f t="shared" ref="SO13:SO33" si="192">SP13</f>
        <v>0</v>
      </c>
      <c r="SP13" s="1115">
        <f>'[1]Иные межбюджетные трансферты'!W11</f>
        <v>0</v>
      </c>
      <c r="SQ13" s="1333">
        <f t="shared" ref="SQ13:SQ33" si="193">SR13</f>
        <v>0</v>
      </c>
      <c r="SR13" s="1334"/>
      <c r="SS13" s="1336">
        <f t="shared" ref="SS13:SS29" si="194">ST13</f>
        <v>0</v>
      </c>
      <c r="ST13" s="1115">
        <f>'[1]Иные межбюджетные трансферты'!Y11</f>
        <v>0</v>
      </c>
      <c r="SU13" s="1344">
        <f t="shared" ref="SU13:SU33" si="195">SV13</f>
        <v>0</v>
      </c>
      <c r="SV13" s="1334"/>
      <c r="SW13" s="1336">
        <f t="shared" ref="SW13:SW29" si="196">SS13-SY13</f>
        <v>0</v>
      </c>
      <c r="SX13" s="1344">
        <f t="shared" ref="SX13:SX29" si="197">SU13-SZ13</f>
        <v>0</v>
      </c>
      <c r="SY13" s="1355">
        <f t="shared" ref="SY13:SY29" si="198">SS13</f>
        <v>0</v>
      </c>
      <c r="SZ13" s="1344">
        <f t="shared" ref="SZ13:SZ29" si="199">SU13</f>
        <v>0</v>
      </c>
      <c r="TA13" s="1350">
        <f t="shared" si="119"/>
        <v>0</v>
      </c>
      <c r="TB13" s="1115">
        <f>'[1]Иные межбюджетные трансферты'!AC11</f>
        <v>0</v>
      </c>
      <c r="TC13" s="965">
        <f t="shared" si="120"/>
        <v>0</v>
      </c>
      <c r="TD13" s="945"/>
      <c r="TE13" s="971">
        <f t="shared" si="121"/>
        <v>15000000</v>
      </c>
      <c r="TF13" s="1115">
        <f>'[1]Иные межбюджетные трансферты'!AE11</f>
        <v>15000000</v>
      </c>
      <c r="TG13" s="965">
        <f t="shared" si="122"/>
        <v>15000000</v>
      </c>
      <c r="TH13" s="1653">
        <v>15000000</v>
      </c>
      <c r="TI13" s="968">
        <f t="shared" si="123"/>
        <v>0</v>
      </c>
      <c r="TJ13" s="962">
        <f t="shared" si="124"/>
        <v>0</v>
      </c>
      <c r="TK13" s="1219">
        <f t="shared" ref="TK13:TK29" si="200">TE13</f>
        <v>15000000</v>
      </c>
      <c r="TL13" s="962">
        <f t="shared" ref="TL13:TL29" si="201">TG13</f>
        <v>15000000</v>
      </c>
      <c r="TM13" s="971">
        <f t="shared" si="125"/>
        <v>0</v>
      </c>
      <c r="TN13" s="1115">
        <f>'[1]Иные межбюджетные трансферты'!AI11</f>
        <v>0</v>
      </c>
      <c r="TO13" s="965">
        <f t="shared" si="126"/>
        <v>0</v>
      </c>
      <c r="TP13" s="945"/>
      <c r="TQ13" s="971">
        <f t="shared" si="127"/>
        <v>0</v>
      </c>
      <c r="TR13" s="1115">
        <f>'[1]Иные межбюджетные трансферты'!AK11</f>
        <v>0</v>
      </c>
      <c r="TS13" s="965">
        <f t="shared" si="128"/>
        <v>0</v>
      </c>
      <c r="TT13" s="1214"/>
      <c r="TU13" s="968">
        <f t="shared" si="129"/>
        <v>0</v>
      </c>
      <c r="TV13" s="962">
        <f t="shared" si="130"/>
        <v>0</v>
      </c>
      <c r="TW13" s="1219">
        <f t="shared" ref="TW13:TW29" si="202">TQ13</f>
        <v>0</v>
      </c>
      <c r="TX13" s="968">
        <f t="shared" ref="TX13:TX29" si="203">TS13</f>
        <v>0</v>
      </c>
      <c r="TY13" s="971">
        <f t="shared" ref="TY13:TY29" si="204">SUM(TZ13:UA13)</f>
        <v>0</v>
      </c>
      <c r="TZ13" s="1210"/>
      <c r="UA13" s="713"/>
      <c r="UB13" s="971">
        <f t="shared" ref="UB13:UB29" si="205">SUM(UC13:UD13)</f>
        <v>0</v>
      </c>
      <c r="UC13" s="810"/>
      <c r="UD13" s="717"/>
      <c r="UE13" s="971">
        <f t="shared" ref="UE13:UE29" si="206">SUM(UF13:UG13)</f>
        <v>0</v>
      </c>
      <c r="UF13" s="1210">
        <f>'[1]Иные межбюджетные трансферты'!AS11</f>
        <v>0</v>
      </c>
      <c r="UG13" s="713">
        <f>'[1]Иные межбюджетные трансферты'!AW11</f>
        <v>0</v>
      </c>
      <c r="UH13" s="965">
        <f t="shared" ref="UH13:UH29" si="207">SUM(UI13:UJ13)</f>
        <v>0</v>
      </c>
      <c r="UI13" s="1484"/>
      <c r="UJ13" s="804"/>
      <c r="UK13" s="865">
        <f t="shared" ref="UK13:UK29" si="208">UE13-UM13</f>
        <v>0</v>
      </c>
      <c r="UL13" s="865">
        <f t="shared" ref="UL13:UL29" si="209">UH13-UN13</f>
        <v>0</v>
      </c>
      <c r="UM13" s="865">
        <f t="shared" ref="UM13:UM29" si="210">UE13</f>
        <v>0</v>
      </c>
      <c r="UN13" s="1493">
        <f t="shared" ref="UN13:UN29" si="211">UH13</f>
        <v>0</v>
      </c>
      <c r="UO13" s="1267">
        <f t="shared" si="131"/>
        <v>0</v>
      </c>
      <c r="UP13" s="1029">
        <f>'[1]Иные межбюджетные трансферты'!S11</f>
        <v>0</v>
      </c>
      <c r="UQ13" s="1266">
        <f>'[1]Иные межбюджетные трансферты'!U11</f>
        <v>0</v>
      </c>
      <c r="UR13" s="769">
        <f t="shared" si="132"/>
        <v>0</v>
      </c>
      <c r="US13" s="1029"/>
      <c r="UT13" s="1266"/>
      <c r="UU13" s="1267">
        <f t="shared" si="133"/>
        <v>0</v>
      </c>
      <c r="UV13" s="1029">
        <f>'[1]Иные межбюджетные трансферты'!O11</f>
        <v>0</v>
      </c>
      <c r="UW13" s="1266">
        <f>'[1]Иные межбюджетные трансферты'!Q11</f>
        <v>0</v>
      </c>
      <c r="UX13" s="769">
        <f t="shared" si="134"/>
        <v>0</v>
      </c>
      <c r="UY13" s="1029"/>
      <c r="UZ13" s="1266"/>
      <c r="VA13" s="888">
        <f t="shared" ref="VA13:VA29" si="212">SUM(VB13:VD13)</f>
        <v>0</v>
      </c>
      <c r="VB13" s="887">
        <f>'[1]Иные межбюджетные трансферты'!I11</f>
        <v>0</v>
      </c>
      <c r="VC13" s="945">
        <f>'[1]Иные межбюджетные трансферты'!K11</f>
        <v>0</v>
      </c>
      <c r="VD13" s="1158">
        <f>'[1]Иные межбюджетные трансферты'!M11</f>
        <v>0</v>
      </c>
      <c r="VE13" s="888">
        <f t="shared" ref="VE13:VE29" si="213">SUM(VF13:VH13)</f>
        <v>0</v>
      </c>
      <c r="VF13" s="980"/>
      <c r="VG13" s="978"/>
      <c r="VH13" s="1323"/>
      <c r="VI13" s="528">
        <f t="shared" si="135"/>
        <v>0</v>
      </c>
      <c r="VJ13" s="882"/>
      <c r="VK13" s="888">
        <f t="shared" si="136"/>
        <v>0</v>
      </c>
      <c r="VL13" s="531"/>
      <c r="VM13" s="893">
        <f t="shared" si="137"/>
        <v>0</v>
      </c>
      <c r="VN13" s="529"/>
      <c r="VO13" s="893">
        <f t="shared" si="138"/>
        <v>0</v>
      </c>
      <c r="VP13" s="529"/>
      <c r="VQ13" s="893">
        <f t="shared" si="139"/>
        <v>0</v>
      </c>
      <c r="VR13" s="882"/>
      <c r="VS13" s="1028">
        <f t="shared" si="140"/>
        <v>0</v>
      </c>
      <c r="VT13" s="531"/>
      <c r="VU13" s="535">
        <f>VW13+'План и исполнение'!WE13+WA13+'План и исполнение'!WI13+WC13+'План и исполнение'!WK13</f>
        <v>-250000</v>
      </c>
      <c r="VV13" s="535">
        <f>VX13+'План и исполнение'!WF13+WB13+'План и исполнение'!WJ13+WD13+'План и исполнение'!WL13</f>
        <v>-250000</v>
      </c>
      <c r="VW13" s="549"/>
      <c r="VX13" s="549"/>
      <c r="VY13" s="549"/>
      <c r="VZ13" s="549"/>
      <c r="WA13" s="546">
        <f t="shared" si="141"/>
        <v>0</v>
      </c>
      <c r="WB13" s="544">
        <f t="shared" si="142"/>
        <v>0</v>
      </c>
      <c r="WC13" s="550"/>
      <c r="WD13" s="539"/>
      <c r="WE13" s="549">
        <v>0</v>
      </c>
      <c r="WF13" s="549"/>
      <c r="WG13" s="549">
        <v>-250000</v>
      </c>
      <c r="WH13" s="549">
        <v>-250000</v>
      </c>
      <c r="WI13" s="546">
        <f t="shared" si="143"/>
        <v>-250000</v>
      </c>
      <c r="WJ13" s="544">
        <f t="shared" si="144"/>
        <v>-250000</v>
      </c>
      <c r="WK13" s="539"/>
      <c r="WL13" s="539"/>
      <c r="WM13" s="1547">
        <f>'План и исполнение'!WE13+'План и исполнение'!WG13</f>
        <v>-250000</v>
      </c>
      <c r="WN13" s="1547">
        <f>'План и исполнение'!WF13+'План и исполнение'!WH13</f>
        <v>-250000</v>
      </c>
      <c r="WO13" s="1154"/>
    </row>
    <row r="14" spans="1:613" s="340" customFormat="1" ht="25.5" customHeight="1" x14ac:dyDescent="0.3">
      <c r="A14" s="350" t="s">
        <v>81</v>
      </c>
      <c r="B14" s="542">
        <f>D14+AI14+'План и исполнение'!RA14+'План и исполнение'!SG14</f>
        <v>688572231.28999996</v>
      </c>
      <c r="C14" s="535">
        <f>E14+'План и исполнение'!RD14+AJ14+'План и исполнение'!SH14</f>
        <v>334656867.24000001</v>
      </c>
      <c r="D14" s="540">
        <f t="shared" si="0"/>
        <v>114536530</v>
      </c>
      <c r="E14" s="542">
        <f t="shared" si="1"/>
        <v>70644900</v>
      </c>
      <c r="F14" s="603">
        <f>'[1]Дотация  из  ОБ_факт'!M10</f>
        <v>44069900</v>
      </c>
      <c r="G14" s="1551">
        <v>23550000</v>
      </c>
      <c r="H14" s="1556">
        <f>'[1]Дотация  из  ОБ_факт'!G10</f>
        <v>18971000</v>
      </c>
      <c r="I14" s="1551">
        <v>11683500</v>
      </c>
      <c r="J14" s="604">
        <f t="shared" si="2"/>
        <v>8529000</v>
      </c>
      <c r="K14" s="611">
        <f t="shared" si="3"/>
        <v>4262500</v>
      </c>
      <c r="L14" s="891">
        <f>'[1]Дотация  из  ОБ_факт'!K10</f>
        <v>10442000</v>
      </c>
      <c r="M14" s="782">
        <v>7421000</v>
      </c>
      <c r="N14" s="603">
        <f>'[1]Дотация  из  ОБ_факт'!Q10</f>
        <v>714000</v>
      </c>
      <c r="O14" s="1054">
        <v>714000</v>
      </c>
      <c r="P14" s="603">
        <f>'[1]Дотация  из  ОБ_факт'!S10</f>
        <v>47619900</v>
      </c>
      <c r="Q14" s="1048">
        <v>32597400</v>
      </c>
      <c r="R14" s="611">
        <f t="shared" si="4"/>
        <v>33849400</v>
      </c>
      <c r="S14" s="605">
        <f t="shared" si="5"/>
        <v>19997400</v>
      </c>
      <c r="T14" s="891">
        <f>'[1]Дотация  из  ОБ_факт'!W10</f>
        <v>13770500</v>
      </c>
      <c r="U14" s="643">
        <v>12600000</v>
      </c>
      <c r="V14" s="603">
        <f>'[1]Дотация  из  ОБ_факт'!AA10+'[1]Дотация  из  ОБ_факт'!AC10+'[1]Дотация  из  ОБ_факт'!AG10</f>
        <v>2070480</v>
      </c>
      <c r="W14" s="465">
        <f t="shared" si="6"/>
        <v>1200000</v>
      </c>
      <c r="X14" s="607">
        <v>1200000</v>
      </c>
      <c r="Y14" s="606"/>
      <c r="Z14" s="607"/>
      <c r="AA14" s="603">
        <f>'[1]Дотация  из  ОБ_факт'!Y10+'[1]Дотация  из  ОБ_факт'!AE10</f>
        <v>1091250</v>
      </c>
      <c r="AB14" s="170">
        <f t="shared" si="7"/>
        <v>900000</v>
      </c>
      <c r="AC14" s="606">
        <v>0</v>
      </c>
      <c r="AD14" s="607">
        <v>900000</v>
      </c>
      <c r="AE14" s="604">
        <f t="shared" si="8"/>
        <v>191250</v>
      </c>
      <c r="AF14" s="611">
        <f t="shared" si="9"/>
        <v>0</v>
      </c>
      <c r="AG14" s="604">
        <f>'[1]Дотация  из  ОБ_факт'!AE10</f>
        <v>900000</v>
      </c>
      <c r="AH14" s="772">
        <v>900000</v>
      </c>
      <c r="AI14" s="599">
        <f>'План и исполнение'!LQ14+'План и исполнение'!QS14+'План и исполнение'!QU14+CQ14+CS14+CY14+DA14+BS14+CA14+'План и исполнение'!JQ14+'План и исполнение'!KA14+'План и исполнение'!EC14+'План и исполнение'!LE14+DM14+'План и исполнение'!IM14+'План и исполнение'!IS14+'План и исполнение'!MM14+'План и исполнение'!MU14+IG14+'План и исполнение'!MA14+FK14+EY14+PO14+ES14+AK14+AU14+FE14+JK14+GG14+GQ14+DG14+PU14+FQ14+EI14+QA14+NY14+GA14+CM14+HU14+IA14+NS14</f>
        <v>131503456.28999999</v>
      </c>
      <c r="AJ14" s="504">
        <f>'План и исполнение'!LV14+'План и исполнение'!QT14+'План и исполнение'!QV14+CR14+CT14+CZ14+DB14+BW14+CE14+'План и исполнение'!JV14+'План и исполнение'!KF14+'План и исполнение'!EF14+'План и исполнение'!LK14+DU14+'План и исполнение'!IP14+'План и исполнение'!IV14+'План и исполнение'!MQ14+'План и исполнение'!MY14+IJ14+'План и исполнение'!ME14+FH14+FN14+FB14+PR14+EV14+AP14+AY14+JN14+GL14+GV14+DJ14+PX14+FT14+EN14+QD14+OF14+GD14+CO14+HX14+ID14+NV14</f>
        <v>59130884.769999996</v>
      </c>
      <c r="AK14" s="504">
        <f t="shared" si="10"/>
        <v>0</v>
      </c>
      <c r="AL14" s="343">
        <f>[1]Субсидия_факт!DB12</f>
        <v>0</v>
      </c>
      <c r="AM14" s="516">
        <f>[1]Субсидия_факт!FF12</f>
        <v>0</v>
      </c>
      <c r="AN14" s="514">
        <f>[1]Субсидия_факт!FR12</f>
        <v>0</v>
      </c>
      <c r="AO14" s="516">
        <f>[1]Субсидия_факт!MZ12</f>
        <v>0</v>
      </c>
      <c r="AP14" s="504">
        <f t="shared" si="11"/>
        <v>0</v>
      </c>
      <c r="AQ14" s="479"/>
      <c r="AR14" s="479"/>
      <c r="AS14" s="479"/>
      <c r="AT14" s="479"/>
      <c r="AU14" s="504">
        <f t="shared" si="12"/>
        <v>0</v>
      </c>
      <c r="AV14" s="469">
        <f>[1]Субсидия_факт!DD12</f>
        <v>0</v>
      </c>
      <c r="AW14" s="343">
        <f>[1]Субсидия_факт!FJ12</f>
        <v>0</v>
      </c>
      <c r="AX14" s="514">
        <f>[1]Субсидия_факт!NB12</f>
        <v>0</v>
      </c>
      <c r="AY14" s="504">
        <f t="shared" si="13"/>
        <v>0</v>
      </c>
      <c r="AZ14" s="547"/>
      <c r="BA14" s="547"/>
      <c r="BB14" s="548"/>
      <c r="BC14" s="697">
        <f t="shared" si="14"/>
        <v>0</v>
      </c>
      <c r="BD14" s="680">
        <f t="shared" si="15"/>
        <v>0</v>
      </c>
      <c r="BE14" s="469">
        <f t="shared" si="16"/>
        <v>0</v>
      </c>
      <c r="BF14" s="343">
        <f t="shared" si="17"/>
        <v>0</v>
      </c>
      <c r="BG14" s="697">
        <f t="shared" si="18"/>
        <v>0</v>
      </c>
      <c r="BH14" s="647">
        <f t="shared" si="19"/>
        <v>0</v>
      </c>
      <c r="BI14" s="514">
        <f t="shared" si="20"/>
        <v>0</v>
      </c>
      <c r="BJ14" s="343">
        <f t="shared" si="21"/>
        <v>0</v>
      </c>
      <c r="BK14" s="697">
        <f t="shared" si="22"/>
        <v>0</v>
      </c>
      <c r="BL14" s="469">
        <f>[1]Субсидия_факт!DF12</f>
        <v>0</v>
      </c>
      <c r="BM14" s="343">
        <f>[1]Субсидия_факт!FL12</f>
        <v>0</v>
      </c>
      <c r="BN14" s="469">
        <f>[1]Субсидия_факт!ND12</f>
        <v>0</v>
      </c>
      <c r="BO14" s="697">
        <f t="shared" si="23"/>
        <v>0</v>
      </c>
      <c r="BP14" s="548"/>
      <c r="BQ14" s="547"/>
      <c r="BR14" s="548"/>
      <c r="BS14" s="535">
        <f t="shared" si="145"/>
        <v>15668019</v>
      </c>
      <c r="BT14" s="449">
        <f>[1]Субсидия_факт!IL12</f>
        <v>0</v>
      </c>
      <c r="BU14" s="343">
        <f>[1]Субсидия_факт!IR12</f>
        <v>15668019</v>
      </c>
      <c r="BV14" s="529">
        <f>[1]Субсидия_факт!JD12</f>
        <v>0</v>
      </c>
      <c r="BW14" s="535">
        <f t="shared" si="146"/>
        <v>0</v>
      </c>
      <c r="BX14" s="547"/>
      <c r="BY14" s="547"/>
      <c r="BZ14" s="650"/>
      <c r="CA14" s="535">
        <f t="shared" si="147"/>
        <v>10307513</v>
      </c>
      <c r="CB14" s="469">
        <f>[1]Субсидия_факт!IN12</f>
        <v>0</v>
      </c>
      <c r="CC14" s="343">
        <f>[1]Субсидия_факт!IT12</f>
        <v>10307513</v>
      </c>
      <c r="CD14" s="529">
        <f>[1]Субсидия_факт!JF12</f>
        <v>0</v>
      </c>
      <c r="CE14" s="535">
        <f t="shared" si="148"/>
        <v>0</v>
      </c>
      <c r="CF14" s="547"/>
      <c r="CG14" s="548"/>
      <c r="CH14" s="760"/>
      <c r="CI14" s="546">
        <f t="shared" si="24"/>
        <v>0</v>
      </c>
      <c r="CJ14" s="544">
        <f t="shared" si="25"/>
        <v>0</v>
      </c>
      <c r="CK14" s="543">
        <f t="shared" si="149"/>
        <v>10307513</v>
      </c>
      <c r="CL14" s="546">
        <f t="shared" si="150"/>
        <v>0</v>
      </c>
      <c r="CM14" s="965">
        <f t="shared" si="151"/>
        <v>0</v>
      </c>
      <c r="CN14" s="721">
        <f>[1]Субсидия_факт!FT12</f>
        <v>0</v>
      </c>
      <c r="CO14" s="965">
        <f t="shared" si="151"/>
        <v>0</v>
      </c>
      <c r="CP14" s="721"/>
      <c r="CQ14" s="534">
        <f>[1]Субсидия_факт!FV12</f>
        <v>0</v>
      </c>
      <c r="CR14" s="644"/>
      <c r="CS14" s="535">
        <f>[1]Субсидия_факт!FX12</f>
        <v>33867129.159999996</v>
      </c>
      <c r="CT14" s="644">
        <f>23541825.25+524553.24+2573037.93</f>
        <v>26639416.419999998</v>
      </c>
      <c r="CU14" s="544">
        <f t="shared" si="26"/>
        <v>8576793.0999999978</v>
      </c>
      <c r="CV14" s="543">
        <f t="shared" si="27"/>
        <v>2573037.9299999997</v>
      </c>
      <c r="CW14" s="610">
        <f>[1]Субсидия_факт!FZ12</f>
        <v>25290336.059999999</v>
      </c>
      <c r="CX14" s="643">
        <v>24066378.489999998</v>
      </c>
      <c r="CY14" s="542">
        <f>[1]Субсидия_факт!GB12</f>
        <v>0</v>
      </c>
      <c r="CZ14" s="341"/>
      <c r="DA14" s="534">
        <f>[1]Субсидия_факт!GD12</f>
        <v>5090693.53</v>
      </c>
      <c r="DB14" s="644">
        <f>1239043.43+195674.2+959820.83</f>
        <v>2394538.46</v>
      </c>
      <c r="DC14" s="544">
        <f t="shared" si="28"/>
        <v>3199402.7700000005</v>
      </c>
      <c r="DD14" s="544">
        <f t="shared" si="29"/>
        <v>959820.83000000007</v>
      </c>
      <c r="DE14" s="691">
        <f>[1]Субсидия_факт!GF12</f>
        <v>1891290.7599999998</v>
      </c>
      <c r="DF14" s="342">
        <v>1434717.63</v>
      </c>
      <c r="DG14" s="504">
        <f t="shared" si="30"/>
        <v>0</v>
      </c>
      <c r="DH14" s="529">
        <f>[1]Субсидия_факт!EV12</f>
        <v>0</v>
      </c>
      <c r="DI14" s="896">
        <f>[1]Субсидия_факт!EX12</f>
        <v>0</v>
      </c>
      <c r="DJ14" s="471">
        <f t="shared" si="31"/>
        <v>0</v>
      </c>
      <c r="DK14" s="809"/>
      <c r="DL14" s="1083"/>
      <c r="DM14" s="542">
        <f t="shared" si="32"/>
        <v>0</v>
      </c>
      <c r="DN14" s="541">
        <f>[1]Субсидия_факт!R12</f>
        <v>0</v>
      </c>
      <c r="DO14" s="1210">
        <f>[1]Субсидия_факт!T12</f>
        <v>0</v>
      </c>
      <c r="DP14" s="713">
        <f>[1]Субсидия_факт!V12</f>
        <v>0</v>
      </c>
      <c r="DQ14" s="673">
        <f>[1]Субсидия_факт!X12</f>
        <v>0</v>
      </c>
      <c r="DR14" s="814">
        <f>[1]Субсидия_факт!Z12</f>
        <v>0</v>
      </c>
      <c r="DS14" s="516">
        <f>[1]Субсидия_факт!AB12</f>
        <v>0</v>
      </c>
      <c r="DT14" s="673">
        <f>[1]Субсидия_факт!AD12</f>
        <v>0</v>
      </c>
      <c r="DU14" s="535">
        <f t="shared" si="33"/>
        <v>0</v>
      </c>
      <c r="DV14" s="548"/>
      <c r="DW14" s="547"/>
      <c r="DX14" s="717"/>
      <c r="DY14" s="547"/>
      <c r="DZ14" s="717"/>
      <c r="EA14" s="548"/>
      <c r="EB14" s="1210">
        <f t="shared" ref="EB14:EB28" si="214">DT14</f>
        <v>0</v>
      </c>
      <c r="EC14" s="504">
        <f t="shared" si="34"/>
        <v>0</v>
      </c>
      <c r="ED14" s="529">
        <f>[1]Субсидия_факт!BN12</f>
        <v>0</v>
      </c>
      <c r="EE14" s="896">
        <f>[1]Субсидия_факт!BP12</f>
        <v>0</v>
      </c>
      <c r="EF14" s="471">
        <f t="shared" si="35"/>
        <v>0</v>
      </c>
      <c r="EG14" s="809"/>
      <c r="EH14" s="1083"/>
      <c r="EI14" s="542">
        <f t="shared" si="152"/>
        <v>0</v>
      </c>
      <c r="EJ14" s="469">
        <f>[1]Субсидия_факт!AJ12</f>
        <v>0</v>
      </c>
      <c r="EK14" s="721">
        <f>[1]Субсидия_факт!AL12</f>
        <v>0</v>
      </c>
      <c r="EL14" s="449">
        <f>[1]Субсидия_факт!AN12</f>
        <v>0</v>
      </c>
      <c r="EM14" s="721">
        <f>[1]Субсидия_факт!AP12</f>
        <v>0</v>
      </c>
      <c r="EN14" s="535">
        <f t="shared" si="153"/>
        <v>0</v>
      </c>
      <c r="EO14" s="479"/>
      <c r="EP14" s="717"/>
      <c r="EQ14" s="479"/>
      <c r="ER14" s="717"/>
      <c r="ES14" s="504">
        <f t="shared" si="36"/>
        <v>0</v>
      </c>
      <c r="ET14" s="529">
        <f>[1]Субсидия_факт!AX12</f>
        <v>0</v>
      </c>
      <c r="EU14" s="789">
        <f>[1]Субсидия_факт!AZ12</f>
        <v>0</v>
      </c>
      <c r="EV14" s="471">
        <f t="shared" si="37"/>
        <v>0</v>
      </c>
      <c r="EW14" s="809"/>
      <c r="EX14" s="708"/>
      <c r="EY14" s="504">
        <f t="shared" si="38"/>
        <v>0</v>
      </c>
      <c r="EZ14" s="529">
        <f>[1]Субсидия_факт!BZ12</f>
        <v>0</v>
      </c>
      <c r="FA14" s="896">
        <f>[1]Субсидия_факт!CB12</f>
        <v>0</v>
      </c>
      <c r="FB14" s="471">
        <f t="shared" si="39"/>
        <v>0</v>
      </c>
      <c r="FC14" s="809"/>
      <c r="FD14" s="708"/>
      <c r="FE14" s="504">
        <f t="shared" si="40"/>
        <v>0</v>
      </c>
      <c r="FF14" s="529">
        <f>[1]Субсидия_факт!BR12</f>
        <v>0</v>
      </c>
      <c r="FG14" s="896">
        <f>[1]Субсидия_факт!BT12</f>
        <v>0</v>
      </c>
      <c r="FH14" s="471">
        <f t="shared" si="41"/>
        <v>0</v>
      </c>
      <c r="FI14" s="809"/>
      <c r="FJ14" s="708"/>
      <c r="FK14" s="504">
        <f t="shared" si="42"/>
        <v>0</v>
      </c>
      <c r="FL14" s="529">
        <f>[1]Субсидия_факт!KJ12</f>
        <v>0</v>
      </c>
      <c r="FM14" s="896">
        <f>[1]Субсидия_факт!KL12</f>
        <v>0</v>
      </c>
      <c r="FN14" s="471">
        <f t="shared" si="43"/>
        <v>0</v>
      </c>
      <c r="FO14" s="809"/>
      <c r="FP14" s="708"/>
      <c r="FQ14" s="504">
        <f t="shared" si="44"/>
        <v>6108050</v>
      </c>
      <c r="FR14" s="529">
        <f>[1]Субсидия_факт!KN12</f>
        <v>6108050</v>
      </c>
      <c r="FS14" s="896">
        <f>[1]Субсидия_факт!KR12</f>
        <v>0</v>
      </c>
      <c r="FT14" s="471">
        <f t="shared" si="45"/>
        <v>0</v>
      </c>
      <c r="FU14" s="809"/>
      <c r="FV14" s="708"/>
      <c r="FW14" s="695">
        <f t="shared" si="154"/>
        <v>0</v>
      </c>
      <c r="FX14" s="697">
        <f t="shared" si="155"/>
        <v>0</v>
      </c>
      <c r="FY14" s="695">
        <f t="shared" si="156"/>
        <v>6108050</v>
      </c>
      <c r="FZ14" s="697">
        <f t="shared" si="157"/>
        <v>0</v>
      </c>
      <c r="GA14" s="504">
        <f t="shared" si="158"/>
        <v>0</v>
      </c>
      <c r="GB14" s="1374">
        <f>[1]Субсидия_факт!BJ12</f>
        <v>0</v>
      </c>
      <c r="GC14" s="706">
        <f>[1]Субсидия_факт!BL12</f>
        <v>0</v>
      </c>
      <c r="GD14" s="504">
        <f t="shared" si="159"/>
        <v>0</v>
      </c>
      <c r="GE14" s="760"/>
      <c r="GF14" s="708"/>
      <c r="GG14" s="504">
        <f t="shared" si="46"/>
        <v>0</v>
      </c>
      <c r="GH14" s="760"/>
      <c r="GI14" s="708"/>
      <c r="GJ14" s="529"/>
      <c r="GK14" s="896"/>
      <c r="GL14" s="471">
        <f t="shared" si="47"/>
        <v>0</v>
      </c>
      <c r="GM14" s="760"/>
      <c r="GN14" s="708"/>
      <c r="GO14" s="760"/>
      <c r="GP14" s="708"/>
      <c r="GQ14" s="471">
        <f t="shared" si="160"/>
        <v>0</v>
      </c>
      <c r="GR14" s="1374">
        <f>[1]Субсидия_факт!GJ12</f>
        <v>0</v>
      </c>
      <c r="GS14" s="706">
        <f>[1]Субсидия_факт!GN12</f>
        <v>0</v>
      </c>
      <c r="GT14" s="529">
        <f>[1]Субсидия_факт!GX12</f>
        <v>0</v>
      </c>
      <c r="GU14" s="896">
        <f>[1]Субсидия_факт!HB12</f>
        <v>0</v>
      </c>
      <c r="GV14" s="471">
        <f t="shared" si="161"/>
        <v>0</v>
      </c>
      <c r="GW14" s="760"/>
      <c r="GX14" s="708"/>
      <c r="GY14" s="760"/>
      <c r="GZ14" s="708"/>
      <c r="HA14" s="695">
        <f t="shared" si="162"/>
        <v>0</v>
      </c>
      <c r="HB14" s="1374">
        <f t="shared" si="48"/>
        <v>0</v>
      </c>
      <c r="HC14" s="1375">
        <f t="shared" si="49"/>
        <v>0</v>
      </c>
      <c r="HD14" s="529">
        <f t="shared" si="50"/>
        <v>0</v>
      </c>
      <c r="HE14" s="896">
        <f t="shared" si="51"/>
        <v>0</v>
      </c>
      <c r="HF14" s="695">
        <f t="shared" si="163"/>
        <v>0</v>
      </c>
      <c r="HG14" s="1374">
        <f t="shared" si="52"/>
        <v>0</v>
      </c>
      <c r="HH14" s="1375">
        <f t="shared" si="53"/>
        <v>0</v>
      </c>
      <c r="HI14" s="529">
        <f t="shared" si="54"/>
        <v>0</v>
      </c>
      <c r="HJ14" s="896">
        <f t="shared" si="55"/>
        <v>0</v>
      </c>
      <c r="HK14" s="695">
        <f t="shared" si="164"/>
        <v>0</v>
      </c>
      <c r="HL14" s="1374">
        <f>[1]Субсидия_факт!GL12</f>
        <v>0</v>
      </c>
      <c r="HM14" s="706">
        <f>[1]Субсидия_факт!GP12</f>
        <v>0</v>
      </c>
      <c r="HN14" s="529">
        <f>[1]Субсидия_факт!GZ12</f>
        <v>0</v>
      </c>
      <c r="HO14" s="896">
        <f>[1]Субсидия_факт!HD12</f>
        <v>0</v>
      </c>
      <c r="HP14" s="695">
        <f t="shared" si="165"/>
        <v>0</v>
      </c>
      <c r="HQ14" s="760"/>
      <c r="HR14" s="708"/>
      <c r="HS14" s="760"/>
      <c r="HT14" s="708"/>
      <c r="HU14" s="542">
        <f t="shared" si="56"/>
        <v>0</v>
      </c>
      <c r="HV14" s="531">
        <f>[1]Субсидия_факт!N12</f>
        <v>0</v>
      </c>
      <c r="HW14" s="789">
        <f>[1]Субсидия_факт!P12</f>
        <v>0</v>
      </c>
      <c r="HX14" s="535">
        <f t="shared" si="57"/>
        <v>0</v>
      </c>
      <c r="HY14" s="547"/>
      <c r="HZ14" s="739"/>
      <c r="IA14" s="542">
        <f t="shared" si="58"/>
        <v>0</v>
      </c>
      <c r="IB14" s="541">
        <f>[1]Субсидия_факт!DZ12</f>
        <v>0</v>
      </c>
      <c r="IC14" s="721">
        <f>[1]Субсидия_факт!EB12</f>
        <v>0</v>
      </c>
      <c r="ID14" s="534">
        <f t="shared" si="59"/>
        <v>0</v>
      </c>
      <c r="IE14" s="547"/>
      <c r="IF14" s="739"/>
      <c r="IG14" s="542">
        <f t="shared" si="166"/>
        <v>0</v>
      </c>
      <c r="IH14" s="531">
        <f>[1]Субсидия_факт!EP12</f>
        <v>0</v>
      </c>
      <c r="II14" s="789">
        <f>[1]Субсидия_факт!ER12</f>
        <v>0</v>
      </c>
      <c r="IJ14" s="535">
        <f t="shared" si="167"/>
        <v>0</v>
      </c>
      <c r="IK14" s="547"/>
      <c r="IL14" s="739"/>
      <c r="IM14" s="599">
        <f t="shared" si="62"/>
        <v>0</v>
      </c>
      <c r="IN14" s="529">
        <f>[1]Субсидия_факт!ED12</f>
        <v>0</v>
      </c>
      <c r="IO14" s="896">
        <f>[1]Субсидия_факт!EJ12</f>
        <v>0</v>
      </c>
      <c r="IP14" s="471">
        <f t="shared" si="63"/>
        <v>0</v>
      </c>
      <c r="IQ14" s="760"/>
      <c r="IR14" s="708"/>
      <c r="IS14" s="471">
        <f t="shared" si="64"/>
        <v>996819.81</v>
      </c>
      <c r="IT14" s="529">
        <f>[1]Субсидия_факт!EF12</f>
        <v>279110.92</v>
      </c>
      <c r="IU14" s="789">
        <f>[1]Субсидия_факт!EL12</f>
        <v>717708.89</v>
      </c>
      <c r="IV14" s="471">
        <f t="shared" si="65"/>
        <v>901661</v>
      </c>
      <c r="IW14" s="650">
        <v>252466.32</v>
      </c>
      <c r="IX14" s="742">
        <v>649194.68000000005</v>
      </c>
      <c r="IY14" s="697">
        <f t="shared" si="66"/>
        <v>996819.81</v>
      </c>
      <c r="IZ14" s="787">
        <f>'План и исполнение'!IT14-'План и исполнение'!JF14</f>
        <v>279110.92</v>
      </c>
      <c r="JA14" s="706">
        <f>'План и исполнение'!IU14-'План и исполнение'!JG14</f>
        <v>717708.89</v>
      </c>
      <c r="JB14" s="691">
        <f t="shared" si="67"/>
        <v>901661</v>
      </c>
      <c r="JC14" s="793">
        <f>'План и исполнение'!IW14-'План и исполнение'!JI14</f>
        <v>252466.32</v>
      </c>
      <c r="JD14" s="804">
        <f>'План и исполнение'!IX14-'План и исполнение'!JJ14</f>
        <v>649194.68000000005</v>
      </c>
      <c r="JE14" s="697">
        <f t="shared" si="68"/>
        <v>0</v>
      </c>
      <c r="JF14" s="529">
        <f>[1]Субсидия_факт!EH12</f>
        <v>0</v>
      </c>
      <c r="JG14" s="896">
        <f>[1]Субсидия_факт!EN12</f>
        <v>0</v>
      </c>
      <c r="JH14" s="697">
        <f t="shared" si="69"/>
        <v>0</v>
      </c>
      <c r="JI14" s="529"/>
      <c r="JJ14" s="789"/>
      <c r="JK14" s="471">
        <f t="shared" si="70"/>
        <v>0</v>
      </c>
      <c r="JL14" s="793">
        <f>[1]Субсидия_факт!AR12</f>
        <v>0</v>
      </c>
      <c r="JM14" s="706">
        <f>[1]Субсидия_факт!AT12</f>
        <v>0</v>
      </c>
      <c r="JN14" s="471">
        <f t="shared" si="71"/>
        <v>0</v>
      </c>
      <c r="JO14" s="650"/>
      <c r="JP14" s="708"/>
      <c r="JQ14" s="785">
        <f t="shared" si="72"/>
        <v>0</v>
      </c>
      <c r="JR14" s="793">
        <f>[1]Субсидия_факт!CJ12</f>
        <v>0</v>
      </c>
      <c r="JS14" s="706">
        <f>[1]Субсидия_факт!CP12</f>
        <v>0</v>
      </c>
      <c r="JT14" s="529">
        <f>[1]Субсидия_факт!DN12</f>
        <v>0</v>
      </c>
      <c r="JU14" s="896">
        <f>[1]Субсидия_факт!DT12</f>
        <v>0</v>
      </c>
      <c r="JV14" s="471">
        <f t="shared" si="73"/>
        <v>0</v>
      </c>
      <c r="JW14" s="650"/>
      <c r="JX14" s="708"/>
      <c r="JY14" s="650"/>
      <c r="JZ14" s="892"/>
      <c r="KA14" s="785">
        <f t="shared" si="74"/>
        <v>9355.2000000000007</v>
      </c>
      <c r="KB14" s="793">
        <f>[1]Субсидия_факт!CL12</f>
        <v>0</v>
      </c>
      <c r="KC14" s="706">
        <f>[1]Субсидия_факт!CR12</f>
        <v>0</v>
      </c>
      <c r="KD14" s="529">
        <f>[1]Субсидия_факт!DP12</f>
        <v>4375.68</v>
      </c>
      <c r="KE14" s="896">
        <f>[1]Субсидия_факт!DV12</f>
        <v>4979.5200000000004</v>
      </c>
      <c r="KF14" s="471">
        <f t="shared" si="75"/>
        <v>0</v>
      </c>
      <c r="KG14" s="650"/>
      <c r="KH14" s="708"/>
      <c r="KI14" s="809"/>
      <c r="KJ14" s="708"/>
      <c r="KK14" s="788">
        <f t="shared" si="76"/>
        <v>9355.2000000000007</v>
      </c>
      <c r="KL14" s="793">
        <f>'План и исполнение'!KB14-KV14</f>
        <v>0</v>
      </c>
      <c r="KM14" s="706">
        <f>'План и исполнение'!KC14-KW14</f>
        <v>0</v>
      </c>
      <c r="KN14" s="787">
        <f>'План и исполнение'!KD14-KX14</f>
        <v>4375.68</v>
      </c>
      <c r="KO14" s="706">
        <f>'План и исполнение'!KE14-KY14</f>
        <v>4979.5200000000004</v>
      </c>
      <c r="KP14" s="788">
        <f t="shared" si="77"/>
        <v>0</v>
      </c>
      <c r="KQ14" s="793">
        <f>'План и исполнение'!KG14-LA14</f>
        <v>0</v>
      </c>
      <c r="KR14" s="830">
        <f>'План и исполнение'!KH14-LB14</f>
        <v>0</v>
      </c>
      <c r="KS14" s="793">
        <f>'План и исполнение'!KI14-LC14</f>
        <v>0</v>
      </c>
      <c r="KT14" s="804">
        <f>'План и исполнение'!KJ14-LD14</f>
        <v>0</v>
      </c>
      <c r="KU14" s="697">
        <f t="shared" si="78"/>
        <v>0</v>
      </c>
      <c r="KV14" s="793">
        <f>[1]Субсидия_факт!CN12</f>
        <v>0</v>
      </c>
      <c r="KW14" s="706">
        <f>[1]Субсидия_факт!CT12</f>
        <v>0</v>
      </c>
      <c r="KX14" s="529">
        <f>[1]Субсидия_факт!DR12</f>
        <v>0</v>
      </c>
      <c r="KY14" s="896">
        <f>[1]Субсидия_факт!DX12</f>
        <v>0</v>
      </c>
      <c r="KZ14" s="697">
        <f t="shared" si="79"/>
        <v>0</v>
      </c>
      <c r="LA14" s="650"/>
      <c r="LB14" s="708"/>
      <c r="LC14" s="531"/>
      <c r="LD14" s="1639"/>
      <c r="LE14" s="504">
        <f t="shared" si="168"/>
        <v>0</v>
      </c>
      <c r="LF14" s="529">
        <f>[1]Субсидия_факт!CD12</f>
        <v>0</v>
      </c>
      <c r="LG14" s="789">
        <f>[1]Субсидия_факт!CF12</f>
        <v>0</v>
      </c>
      <c r="LH14" s="529">
        <f>[1]Субсидия_факт!BV12</f>
        <v>0</v>
      </c>
      <c r="LI14" s="789">
        <f>[1]Субсидия_факт!BX12</f>
        <v>0</v>
      </c>
      <c r="LJ14" s="529">
        <f>[1]Субсидия_факт!CH12</f>
        <v>0</v>
      </c>
      <c r="LK14" s="471">
        <f t="shared" si="169"/>
        <v>0</v>
      </c>
      <c r="LL14" s="650"/>
      <c r="LM14" s="708"/>
      <c r="LN14" s="650"/>
      <c r="LO14" s="708"/>
      <c r="LP14" s="650"/>
      <c r="LQ14" s="504">
        <f t="shared" si="80"/>
        <v>0</v>
      </c>
      <c r="LR14" s="516">
        <f>[1]Субсидия_факт!HN12</f>
        <v>0</v>
      </c>
      <c r="LS14" s="529">
        <f>[1]Субсидия_факт!HL12</f>
        <v>0</v>
      </c>
      <c r="LT14" s="541">
        <f>[1]Субсидия_факт!HV12</f>
        <v>0</v>
      </c>
      <c r="LU14" s="721">
        <f>[1]Субсидия_факт!HX12</f>
        <v>0</v>
      </c>
      <c r="LV14" s="471">
        <f t="shared" si="81"/>
        <v>0</v>
      </c>
      <c r="LW14" s="344"/>
      <c r="LX14" s="650"/>
      <c r="LY14" s="479"/>
      <c r="LZ14" s="717"/>
      <c r="MA14" s="471">
        <f t="shared" si="82"/>
        <v>0</v>
      </c>
      <c r="MB14" s="531">
        <f>[1]Субсидия_факт!HT12</f>
        <v>0</v>
      </c>
      <c r="MC14" s="531">
        <f>[1]Субсидия_факт!HP12</f>
        <v>0</v>
      </c>
      <c r="MD14" s="789">
        <f>[1]Субсидия_факт!HR12</f>
        <v>0</v>
      </c>
      <c r="ME14" s="471">
        <f t="shared" si="83"/>
        <v>0</v>
      </c>
      <c r="MF14" s="793">
        <f t="shared" si="170"/>
        <v>0</v>
      </c>
      <c r="MG14" s="650"/>
      <c r="MH14" s="708"/>
      <c r="MI14" s="893">
        <f t="shared" si="84"/>
        <v>0</v>
      </c>
      <c r="MJ14" s="893">
        <f t="shared" si="85"/>
        <v>0</v>
      </c>
      <c r="MK14" s="695">
        <f t="shared" si="86"/>
        <v>0</v>
      </c>
      <c r="ML14" s="1028">
        <f t="shared" si="87"/>
        <v>0</v>
      </c>
      <c r="MM14" s="791">
        <f>SUM(MN14:MO14)</f>
        <v>0</v>
      </c>
      <c r="MN14" s="529">
        <f>[1]Субсидия_факт!LH12</f>
        <v>0</v>
      </c>
      <c r="MO14" s="896">
        <f>[1]Субсидия_факт!LN12</f>
        <v>0</v>
      </c>
      <c r="MP14" s="531"/>
      <c r="MQ14" s="791">
        <f t="shared" si="171"/>
        <v>0</v>
      </c>
      <c r="MR14" s="809"/>
      <c r="MS14" s="708"/>
      <c r="MT14" s="531"/>
      <c r="MU14" s="791">
        <f t="shared" si="172"/>
        <v>23900000</v>
      </c>
      <c r="MV14" s="529">
        <f>[1]Субсидия_факт!LJ12</f>
        <v>870000</v>
      </c>
      <c r="MW14" s="896">
        <f>[1]Субсидия_факт!LP12</f>
        <v>16530000</v>
      </c>
      <c r="MX14" s="531">
        <f>[1]Субсидия_факт!LT12</f>
        <v>6500000</v>
      </c>
      <c r="MY14" s="791">
        <f t="shared" si="173"/>
        <v>19235887.469999999</v>
      </c>
      <c r="MZ14" s="650">
        <v>636794.37</v>
      </c>
      <c r="NA14" s="808">
        <v>12099093.1</v>
      </c>
      <c r="NB14" s="531">
        <f t="shared" si="174"/>
        <v>6500000</v>
      </c>
      <c r="NC14" s="792">
        <f t="shared" si="175"/>
        <v>6500000</v>
      </c>
      <c r="ND14" s="680">
        <f>'План и исполнение'!MV14-NL14</f>
        <v>0</v>
      </c>
      <c r="NE14" s="713">
        <f>'План и исполнение'!MW14-NM14</f>
        <v>0</v>
      </c>
      <c r="NF14" s="647">
        <f>'План и исполнение'!MX14-NN14</f>
        <v>6500000</v>
      </c>
      <c r="NG14" s="792">
        <f t="shared" si="176"/>
        <v>6500000</v>
      </c>
      <c r="NH14" s="787">
        <f>'План и исполнение'!MZ14-NP14</f>
        <v>0</v>
      </c>
      <c r="NI14" s="706">
        <f>'План и исполнение'!NA14-NQ14</f>
        <v>0</v>
      </c>
      <c r="NJ14" s="793">
        <f>'План и исполнение'!NB14-NR14</f>
        <v>6500000</v>
      </c>
      <c r="NK14" s="792">
        <f t="shared" si="177"/>
        <v>17400000</v>
      </c>
      <c r="NL14" s="529">
        <f>[1]Субсидия_факт!LL12</f>
        <v>870000</v>
      </c>
      <c r="NM14" s="896">
        <f>[1]Субсидия_факт!LR12</f>
        <v>16530000</v>
      </c>
      <c r="NN14" s="529">
        <f>[1]Субсидия_факт!LV12</f>
        <v>0</v>
      </c>
      <c r="NO14" s="792">
        <f t="shared" si="178"/>
        <v>12735887.469999999</v>
      </c>
      <c r="NP14" s="787">
        <f t="shared" si="179"/>
        <v>636794.37</v>
      </c>
      <c r="NQ14" s="706">
        <f t="shared" si="180"/>
        <v>12099093.1</v>
      </c>
      <c r="NR14" s="529">
        <f t="shared" ref="NR14:NR29" si="215">NN14</f>
        <v>0</v>
      </c>
      <c r="NS14" s="535">
        <f t="shared" si="181"/>
        <v>0</v>
      </c>
      <c r="NT14" s="1285">
        <f>[1]Субсидия_факт!NF12</f>
        <v>0</v>
      </c>
      <c r="NU14" s="713">
        <f>[1]Субсидия_факт!NH12</f>
        <v>0</v>
      </c>
      <c r="NV14" s="535">
        <f t="shared" si="182"/>
        <v>0</v>
      </c>
      <c r="NW14" s="344"/>
      <c r="NX14" s="739"/>
      <c r="NY14" s="535">
        <f t="shared" si="183"/>
        <v>5433226.96</v>
      </c>
      <c r="NZ14" s="1194">
        <f>[1]Субсидия_факт!LX12</f>
        <v>0</v>
      </c>
      <c r="OA14" s="1295">
        <f>[1]Субсидия_факт!MB12</f>
        <v>0</v>
      </c>
      <c r="OB14" s="1194">
        <f>[1]Субсидия_факт!MF12</f>
        <v>1521303.56</v>
      </c>
      <c r="OC14" s="713">
        <f>[1]Субсидия_факт!MJ12</f>
        <v>3911923.4</v>
      </c>
      <c r="OD14" s="1285">
        <f>[1]Субсидия_факт!NJ12</f>
        <v>0</v>
      </c>
      <c r="OE14" s="713">
        <f>[1]Субсидия_факт!NN12</f>
        <v>0</v>
      </c>
      <c r="OF14" s="535">
        <f t="shared" si="184"/>
        <v>0</v>
      </c>
      <c r="OG14" s="493"/>
      <c r="OH14" s="746"/>
      <c r="OI14" s="344"/>
      <c r="OJ14" s="739"/>
      <c r="OK14" s="493"/>
      <c r="OL14" s="746"/>
      <c r="OM14" s="610">
        <f t="shared" si="185"/>
        <v>5433226.96</v>
      </c>
      <c r="ON14" s="1194">
        <f t="shared" si="88"/>
        <v>0</v>
      </c>
      <c r="OO14" s="713">
        <f t="shared" si="89"/>
        <v>0</v>
      </c>
      <c r="OP14" s="493">
        <f t="shared" si="90"/>
        <v>1521303.56</v>
      </c>
      <c r="OQ14" s="713">
        <f t="shared" si="91"/>
        <v>3911923.4</v>
      </c>
      <c r="OR14" s="1285">
        <f t="shared" si="92"/>
        <v>0</v>
      </c>
      <c r="OS14" s="713">
        <f t="shared" si="93"/>
        <v>0</v>
      </c>
      <c r="OT14" s="610">
        <f t="shared" si="186"/>
        <v>0</v>
      </c>
      <c r="OU14" s="1194">
        <f t="shared" si="94"/>
        <v>0</v>
      </c>
      <c r="OV14" s="713">
        <f t="shared" si="95"/>
        <v>0</v>
      </c>
      <c r="OW14" s="493">
        <f t="shared" si="96"/>
        <v>0</v>
      </c>
      <c r="OX14" s="713">
        <f t="shared" si="97"/>
        <v>0</v>
      </c>
      <c r="OY14" s="1285">
        <f t="shared" si="98"/>
        <v>0</v>
      </c>
      <c r="OZ14" s="713">
        <f t="shared" si="99"/>
        <v>0</v>
      </c>
      <c r="PA14" s="610">
        <f t="shared" si="187"/>
        <v>0</v>
      </c>
      <c r="PB14" s="1194">
        <f>[1]Субсидия_факт!LZ12</f>
        <v>0</v>
      </c>
      <c r="PC14" s="1295">
        <f>[1]Субсидия_факт!MD12</f>
        <v>0</v>
      </c>
      <c r="PD14" s="1194">
        <f>[1]Субсидия_факт!MH12</f>
        <v>0</v>
      </c>
      <c r="PE14" s="713">
        <f>[1]Субсидия_факт!ML12</f>
        <v>0</v>
      </c>
      <c r="PF14" s="991">
        <f>[1]Субсидия_факт!NL12</f>
        <v>0</v>
      </c>
      <c r="PG14" s="801">
        <f>[1]Субсидия_факт!NP12</f>
        <v>0</v>
      </c>
      <c r="PH14" s="610">
        <f t="shared" si="188"/>
        <v>0</v>
      </c>
      <c r="PI14" s="991"/>
      <c r="PJ14" s="746"/>
      <c r="PK14" s="493"/>
      <c r="PL14" s="746"/>
      <c r="PM14" s="493"/>
      <c r="PN14" s="746"/>
      <c r="PO14" s="504">
        <f t="shared" si="100"/>
        <v>0</v>
      </c>
      <c r="PP14" s="529">
        <f>[1]Субсидия_факт!AF12</f>
        <v>0</v>
      </c>
      <c r="PQ14" s="896">
        <f>[1]Субсидия_факт!AH12</f>
        <v>0</v>
      </c>
      <c r="PR14" s="471">
        <f t="shared" si="101"/>
        <v>0</v>
      </c>
      <c r="PS14" s="809"/>
      <c r="PT14" s="708"/>
      <c r="PU14" s="535">
        <f t="shared" si="102"/>
        <v>0</v>
      </c>
      <c r="PV14" s="673">
        <f>[1]Субсидия_факт!MN12</f>
        <v>0</v>
      </c>
      <c r="PW14" s="814">
        <f>[1]Субсидия_факт!MP12</f>
        <v>0</v>
      </c>
      <c r="PX14" s="535">
        <f t="shared" si="103"/>
        <v>0</v>
      </c>
      <c r="PY14" s="1377"/>
      <c r="PZ14" s="717"/>
      <c r="QA14" s="535">
        <f t="shared" si="104"/>
        <v>0</v>
      </c>
      <c r="QB14" s="1194">
        <f>[1]Субсидия_факт!MR12</f>
        <v>0</v>
      </c>
      <c r="QC14" s="713">
        <f>[1]Субсидия_факт!MV12</f>
        <v>0</v>
      </c>
      <c r="QD14" s="535">
        <f t="shared" si="105"/>
        <v>0</v>
      </c>
      <c r="QE14" s="479"/>
      <c r="QF14" s="717"/>
      <c r="QG14" s="610">
        <f t="shared" si="106"/>
        <v>0</v>
      </c>
      <c r="QH14" s="1194">
        <f t="shared" si="107"/>
        <v>0</v>
      </c>
      <c r="QI14" s="713">
        <f t="shared" si="108"/>
        <v>0</v>
      </c>
      <c r="QJ14" s="610">
        <f t="shared" si="109"/>
        <v>0</v>
      </c>
      <c r="QK14" s="1194">
        <f t="shared" si="110"/>
        <v>0</v>
      </c>
      <c r="QL14" s="713">
        <f t="shared" si="111"/>
        <v>0</v>
      </c>
      <c r="QM14" s="610">
        <f t="shared" si="112"/>
        <v>0</v>
      </c>
      <c r="QN14" s="1210">
        <f>[1]Субсидия_факт!MT12</f>
        <v>0</v>
      </c>
      <c r="QO14" s="713">
        <f>[1]Субсидия_факт!MX12</f>
        <v>0</v>
      </c>
      <c r="QP14" s="610">
        <f t="shared" si="113"/>
        <v>0</v>
      </c>
      <c r="QQ14" s="479"/>
      <c r="QR14" s="717"/>
      <c r="QS14" s="535">
        <f>'Прочая  субсидия_МР  и  ГО'!B10</f>
        <v>16820033.740000002</v>
      </c>
      <c r="QT14" s="535">
        <f>'Прочая  субсидия_МР  и  ГО'!C10</f>
        <v>3727065.67</v>
      </c>
      <c r="QU14" s="540">
        <f>'Прочая  субсидия_БП'!B10</f>
        <v>13302615.890000001</v>
      </c>
      <c r="QV14" s="542">
        <f>'Прочая  субсидия_БП'!C10</f>
        <v>6232315.75</v>
      </c>
      <c r="QW14" s="605">
        <f>'Прочая  субсидия_БП'!D10</f>
        <v>12633668.439999999</v>
      </c>
      <c r="QX14" s="604">
        <f>'Прочая  субсидия_БП'!E10</f>
        <v>6097993.3000000007</v>
      </c>
      <c r="QY14" s="611">
        <f>'Прочая  субсидия_БП'!F10</f>
        <v>668947.44999999995</v>
      </c>
      <c r="QZ14" s="605">
        <f>'Прочая  субсидия_БП'!G10</f>
        <v>134322.44999999998</v>
      </c>
      <c r="RA14" s="542">
        <f t="shared" si="189"/>
        <v>367532245</v>
      </c>
      <c r="RB14" s="469">
        <f>'План и исполнение'!RZ14+'План и исполнение'!RG14+'План и исполнение'!RI14+'План и исполнение'!RK14</f>
        <v>363890745</v>
      </c>
      <c r="RC14" s="343">
        <f>'План и исполнение'!SB14+'План и исполнение'!RM14+'План и исполнение'!RS14+'План и исполнение'!RO14+'План и исполнение'!RQ14+RU14+RW14+SA14</f>
        <v>3641500</v>
      </c>
      <c r="RD14" s="534">
        <f t="shared" si="190"/>
        <v>204881082.47</v>
      </c>
      <c r="RE14" s="541">
        <f>'План и исполнение'!SD14+'План и исполнение'!RH14+'План и исполнение'!RJ14+'План и исполнение'!RL14</f>
        <v>203234383</v>
      </c>
      <c r="RF14" s="343">
        <f>'План и исполнение'!SF14+'План и исполнение'!RN14+'План и исполнение'!RT14+'План и исполнение'!RP14+'План и исполнение'!RR14+RV14+RX14+SE14</f>
        <v>1646699.47</v>
      </c>
      <c r="RG14" s="599">
        <f>'Субвенция  на  полномочия'!B10</f>
        <v>339215745</v>
      </c>
      <c r="RH14" s="471">
        <f>'Субвенция  на  полномочия'!C10</f>
        <v>189287383</v>
      </c>
      <c r="RI14" s="768">
        <f>[1]Субвенция_факт!P11*1000</f>
        <v>17888200</v>
      </c>
      <c r="RJ14" s="771">
        <v>9900000</v>
      </c>
      <c r="RK14" s="768">
        <f>[1]Субвенция_факт!K11*1000</f>
        <v>5440599.9999999991</v>
      </c>
      <c r="RL14" s="771">
        <v>3230000</v>
      </c>
      <c r="RM14" s="768">
        <f>[1]Субвенция_факт!AF11*1000</f>
        <v>1238500</v>
      </c>
      <c r="RN14" s="771">
        <v>436640.04</v>
      </c>
      <c r="RO14" s="768">
        <f>[1]Субвенция_факт!AG11*1000</f>
        <v>3000</v>
      </c>
      <c r="RP14" s="771">
        <v>0</v>
      </c>
      <c r="RQ14" s="768">
        <f>[1]Субвенция_факт!E11*1000</f>
        <v>0</v>
      </c>
      <c r="RR14" s="771"/>
      <c r="RS14" s="768">
        <f>[1]Субвенция_факт!F11*1000</f>
        <v>0</v>
      </c>
      <c r="RT14" s="877"/>
      <c r="RU14" s="168">
        <f>[1]Субвенция_факт!G11*1000</f>
        <v>0</v>
      </c>
      <c r="RV14" s="1241"/>
      <c r="RW14" s="168">
        <f>[1]Субвенция_факт!H11*1000</f>
        <v>0</v>
      </c>
      <c r="RX14" s="878"/>
      <c r="RY14" s="504">
        <f t="shared" si="191"/>
        <v>3746200</v>
      </c>
      <c r="RZ14" s="887">
        <f>[1]Субвенция_факт!AE11*1000</f>
        <v>1346200</v>
      </c>
      <c r="SA14" s="882">
        <f>[1]Субвенция_факт!AD11*1000</f>
        <v>0</v>
      </c>
      <c r="SB14" s="1158">
        <f>[1]Субвенция_факт!AC11*1000</f>
        <v>2400000</v>
      </c>
      <c r="SC14" s="535">
        <f t="shared" si="116"/>
        <v>2027059.43</v>
      </c>
      <c r="SD14" s="974">
        <v>817000</v>
      </c>
      <c r="SE14" s="1645"/>
      <c r="SF14" s="1652">
        <v>1210059.43</v>
      </c>
      <c r="SG14" s="279">
        <f>'План и исполнение'!VI14+'План и исполнение'!VA14+'План и исполнение'!TA14+'План и исполнение'!TE14+UO14+UU14+SO14+SS14+TM14+TQ14+UE14+SI14+TY14</f>
        <v>75000000</v>
      </c>
      <c r="SH14" s="168">
        <f>'План и исполнение'!VK14+'План и исполнение'!VE14+'План и исполнение'!TC14+'План и исполнение'!TG14+UR14+UX14+SQ14+SU14+TO14+TS14+UH14+SL14+UB14</f>
        <v>0</v>
      </c>
      <c r="SI14" s="540">
        <f t="shared" si="117"/>
        <v>0</v>
      </c>
      <c r="SJ14" s="887">
        <f>'[1]Иные межбюджетные трансферты'!E12</f>
        <v>0</v>
      </c>
      <c r="SK14" s="945">
        <f>'[1]Иные межбюджетные трансферты'!G12</f>
        <v>0</v>
      </c>
      <c r="SL14" s="535">
        <f t="shared" si="118"/>
        <v>0</v>
      </c>
      <c r="SM14" s="1323"/>
      <c r="SN14" s="1464"/>
      <c r="SO14" s="1335">
        <f t="shared" si="192"/>
        <v>0</v>
      </c>
      <c r="SP14" s="1115">
        <f>'[1]Иные межбюджетные трансферты'!W12</f>
        <v>0</v>
      </c>
      <c r="SQ14" s="1333">
        <f t="shared" si="193"/>
        <v>0</v>
      </c>
      <c r="SR14" s="1334"/>
      <c r="SS14" s="1336">
        <f t="shared" si="194"/>
        <v>0</v>
      </c>
      <c r="ST14" s="1115">
        <f>'[1]Иные межбюджетные трансферты'!Y12</f>
        <v>0</v>
      </c>
      <c r="SU14" s="1344">
        <f t="shared" si="195"/>
        <v>0</v>
      </c>
      <c r="SV14" s="1334"/>
      <c r="SW14" s="1336">
        <f t="shared" si="196"/>
        <v>0</v>
      </c>
      <c r="SX14" s="1344">
        <f t="shared" si="197"/>
        <v>0</v>
      </c>
      <c r="SY14" s="1355">
        <f t="shared" si="198"/>
        <v>0</v>
      </c>
      <c r="SZ14" s="1344">
        <f t="shared" si="199"/>
        <v>0</v>
      </c>
      <c r="TA14" s="1350">
        <f t="shared" si="119"/>
        <v>0</v>
      </c>
      <c r="TB14" s="1115">
        <f>'[1]Иные межбюджетные трансферты'!AC12</f>
        <v>0</v>
      </c>
      <c r="TC14" s="965">
        <f t="shared" si="120"/>
        <v>0</v>
      </c>
      <c r="TD14" s="945"/>
      <c r="TE14" s="971">
        <f t="shared" si="121"/>
        <v>0</v>
      </c>
      <c r="TF14" s="1115">
        <f>'[1]Иные межбюджетные трансферты'!AE12</f>
        <v>0</v>
      </c>
      <c r="TG14" s="965">
        <f t="shared" si="122"/>
        <v>0</v>
      </c>
      <c r="TH14" s="1214"/>
      <c r="TI14" s="968">
        <f t="shared" si="123"/>
        <v>0</v>
      </c>
      <c r="TJ14" s="962">
        <f t="shared" si="124"/>
        <v>0</v>
      </c>
      <c r="TK14" s="1219">
        <f t="shared" si="200"/>
        <v>0</v>
      </c>
      <c r="TL14" s="962">
        <f t="shared" si="201"/>
        <v>0</v>
      </c>
      <c r="TM14" s="971">
        <f t="shared" si="125"/>
        <v>0</v>
      </c>
      <c r="TN14" s="1115">
        <f>'[1]Иные межбюджетные трансферты'!AI12</f>
        <v>0</v>
      </c>
      <c r="TO14" s="965">
        <f t="shared" si="126"/>
        <v>0</v>
      </c>
      <c r="TP14" s="945"/>
      <c r="TQ14" s="971">
        <f t="shared" si="127"/>
        <v>0</v>
      </c>
      <c r="TR14" s="1115">
        <f>'[1]Иные межбюджетные трансферты'!AK12</f>
        <v>0</v>
      </c>
      <c r="TS14" s="965">
        <f t="shared" si="128"/>
        <v>0</v>
      </c>
      <c r="TT14" s="1214"/>
      <c r="TU14" s="968">
        <f t="shared" si="129"/>
        <v>0</v>
      </c>
      <c r="TV14" s="962">
        <f t="shared" si="130"/>
        <v>0</v>
      </c>
      <c r="TW14" s="1219">
        <f t="shared" si="202"/>
        <v>0</v>
      </c>
      <c r="TX14" s="968">
        <f t="shared" si="203"/>
        <v>0</v>
      </c>
      <c r="TY14" s="971">
        <f t="shared" si="204"/>
        <v>0</v>
      </c>
      <c r="TZ14" s="1210"/>
      <c r="UA14" s="713"/>
      <c r="UB14" s="971">
        <f t="shared" si="205"/>
        <v>0</v>
      </c>
      <c r="UC14" s="810"/>
      <c r="UD14" s="717"/>
      <c r="UE14" s="971">
        <f t="shared" si="206"/>
        <v>75000000</v>
      </c>
      <c r="UF14" s="1210">
        <f>'[1]Иные межбюджетные трансферты'!AS12</f>
        <v>30000000</v>
      </c>
      <c r="UG14" s="713">
        <f>'[1]Иные межбюджетные трансферты'!AW12</f>
        <v>45000000</v>
      </c>
      <c r="UH14" s="965">
        <f t="shared" si="207"/>
        <v>0</v>
      </c>
      <c r="UI14" s="1484"/>
      <c r="UJ14" s="804"/>
      <c r="UK14" s="865">
        <f t="shared" si="208"/>
        <v>0</v>
      </c>
      <c r="UL14" s="865">
        <f t="shared" si="209"/>
        <v>0</v>
      </c>
      <c r="UM14" s="865">
        <f t="shared" si="210"/>
        <v>75000000</v>
      </c>
      <c r="UN14" s="1493">
        <f t="shared" si="211"/>
        <v>0</v>
      </c>
      <c r="UO14" s="1267">
        <f t="shared" si="131"/>
        <v>0</v>
      </c>
      <c r="UP14" s="1029">
        <f>'[1]Иные межбюджетные трансферты'!S12</f>
        <v>0</v>
      </c>
      <c r="UQ14" s="1266">
        <f>'[1]Иные межбюджетные трансферты'!U12</f>
        <v>0</v>
      </c>
      <c r="UR14" s="769">
        <f t="shared" si="132"/>
        <v>0</v>
      </c>
      <c r="US14" s="1029"/>
      <c r="UT14" s="1266"/>
      <c r="UU14" s="1267">
        <f t="shared" si="133"/>
        <v>0</v>
      </c>
      <c r="UV14" s="1029">
        <f>'[1]Иные межбюджетные трансферты'!O12</f>
        <v>0</v>
      </c>
      <c r="UW14" s="1266">
        <f>'[1]Иные межбюджетные трансферты'!Q12</f>
        <v>0</v>
      </c>
      <c r="UX14" s="769">
        <f t="shared" si="134"/>
        <v>0</v>
      </c>
      <c r="UY14" s="1029"/>
      <c r="UZ14" s="1266"/>
      <c r="VA14" s="888">
        <f t="shared" si="212"/>
        <v>0</v>
      </c>
      <c r="VB14" s="887">
        <f>'[1]Иные межбюджетные трансферты'!I12</f>
        <v>0</v>
      </c>
      <c r="VC14" s="945">
        <f>'[1]Иные межбюджетные трансферты'!K12</f>
        <v>0</v>
      </c>
      <c r="VD14" s="1158">
        <f>'[1]Иные межбюджетные трансферты'!M12</f>
        <v>0</v>
      </c>
      <c r="VE14" s="888">
        <f t="shared" si="213"/>
        <v>0</v>
      </c>
      <c r="VF14" s="980"/>
      <c r="VG14" s="978"/>
      <c r="VH14" s="1323"/>
      <c r="VI14" s="528">
        <f t="shared" si="135"/>
        <v>0</v>
      </c>
      <c r="VJ14" s="882"/>
      <c r="VK14" s="888">
        <f t="shared" si="136"/>
        <v>0</v>
      </c>
      <c r="VL14" s="531"/>
      <c r="VM14" s="893">
        <f t="shared" si="137"/>
        <v>0</v>
      </c>
      <c r="VN14" s="529"/>
      <c r="VO14" s="893">
        <f t="shared" si="138"/>
        <v>0</v>
      </c>
      <c r="VP14" s="529"/>
      <c r="VQ14" s="893">
        <f t="shared" si="139"/>
        <v>0</v>
      </c>
      <c r="VR14" s="882"/>
      <c r="VS14" s="1028">
        <f t="shared" si="140"/>
        <v>0</v>
      </c>
      <c r="VT14" s="531"/>
      <c r="VU14" s="535">
        <f>VW14+'План и исполнение'!WE14+WA14+'План и исполнение'!WI14+WC14+'План и исполнение'!WK14</f>
        <v>-32350000</v>
      </c>
      <c r="VV14" s="535">
        <f>VX14+'План и исполнение'!WF14+WB14+'План и исполнение'!WJ14+WD14+'План и исполнение'!WL14</f>
        <v>-9900000</v>
      </c>
      <c r="VW14" s="549"/>
      <c r="VX14" s="549"/>
      <c r="VY14" s="549"/>
      <c r="VZ14" s="549"/>
      <c r="WA14" s="546">
        <f t="shared" si="141"/>
        <v>0</v>
      </c>
      <c r="WB14" s="544">
        <f t="shared" si="142"/>
        <v>0</v>
      </c>
      <c r="WC14" s="550"/>
      <c r="WD14" s="539"/>
      <c r="WE14" s="549">
        <v>-19500000</v>
      </c>
      <c r="WF14" s="549">
        <v>-3750000</v>
      </c>
      <c r="WG14" s="549">
        <v>-12850000</v>
      </c>
      <c r="WH14" s="549">
        <f>-1150000-350000-250000-4400000</f>
        <v>-6150000</v>
      </c>
      <c r="WI14" s="546">
        <f t="shared" si="143"/>
        <v>-4050000</v>
      </c>
      <c r="WJ14" s="544">
        <f t="shared" si="144"/>
        <v>-1750000</v>
      </c>
      <c r="WK14" s="539">
        <v>-8800000</v>
      </c>
      <c r="WL14" s="539">
        <v>-4400000</v>
      </c>
      <c r="WM14" s="1547">
        <f>'План и исполнение'!WE14+'План и исполнение'!WG14</f>
        <v>-32350000</v>
      </c>
      <c r="WN14" s="1547">
        <f>'План и исполнение'!WF14+'План и исполнение'!WH14</f>
        <v>-9900000</v>
      </c>
      <c r="WO14" s="1154"/>
    </row>
    <row r="15" spans="1:613" s="340" customFormat="1" ht="25.5" customHeight="1" x14ac:dyDescent="0.3">
      <c r="A15" s="349" t="s">
        <v>82</v>
      </c>
      <c r="B15" s="542">
        <f>D15+AI15+'План и исполнение'!RA15+'План и исполнение'!SG15</f>
        <v>548408481.12</v>
      </c>
      <c r="C15" s="535">
        <f>E15+'План и исполнение'!RD15+AJ15+'План и исполнение'!SH15</f>
        <v>269966615.31</v>
      </c>
      <c r="D15" s="540">
        <f t="shared" si="0"/>
        <v>79592525</v>
      </c>
      <c r="E15" s="542">
        <f t="shared" si="1"/>
        <v>44053395</v>
      </c>
      <c r="F15" s="603">
        <f>'[1]Дотация  из  ОБ_факт'!M11</f>
        <v>7817200</v>
      </c>
      <c r="G15" s="1551">
        <v>3908580</v>
      </c>
      <c r="H15" s="1556">
        <f>'[1]Дотация  из  ОБ_факт'!G11</f>
        <v>39499000</v>
      </c>
      <c r="I15" s="1551">
        <v>20450556</v>
      </c>
      <c r="J15" s="604">
        <f t="shared" si="2"/>
        <v>39499000</v>
      </c>
      <c r="K15" s="611">
        <f t="shared" si="3"/>
        <v>20450556</v>
      </c>
      <c r="L15" s="891">
        <f>'[1]Дотация  из  ОБ_факт'!K11</f>
        <v>0</v>
      </c>
      <c r="M15" s="782"/>
      <c r="N15" s="603">
        <f>'[1]Дотация  из  ОБ_факт'!Q11</f>
        <v>867000</v>
      </c>
      <c r="O15" s="1054">
        <v>867000</v>
      </c>
      <c r="P15" s="603">
        <f>'[1]Дотация  из  ОБ_факт'!S11</f>
        <v>28046000</v>
      </c>
      <c r="Q15" s="1048">
        <v>16863259</v>
      </c>
      <c r="R15" s="611">
        <f t="shared" si="4"/>
        <v>28046000</v>
      </c>
      <c r="S15" s="605">
        <f t="shared" si="5"/>
        <v>16863259</v>
      </c>
      <c r="T15" s="891">
        <f>'[1]Дотация  из  ОБ_факт'!W11</f>
        <v>0</v>
      </c>
      <c r="U15" s="643"/>
      <c r="V15" s="603">
        <f>'[1]Дотация  из  ОБ_факт'!AA11+'[1]Дотация  из  ОБ_факт'!AC11+'[1]Дотация  из  ОБ_факт'!AG11</f>
        <v>2649325</v>
      </c>
      <c r="W15" s="465">
        <f t="shared" si="6"/>
        <v>1250000</v>
      </c>
      <c r="X15" s="607">
        <v>750000</v>
      </c>
      <c r="Y15" s="606">
        <v>500000</v>
      </c>
      <c r="Z15" s="607"/>
      <c r="AA15" s="603">
        <f>'[1]Дотация  из  ОБ_факт'!Y11+'[1]Дотация  из  ОБ_факт'!AE11</f>
        <v>714000</v>
      </c>
      <c r="AB15" s="170">
        <f t="shared" si="7"/>
        <v>714000</v>
      </c>
      <c r="AC15" s="606">
        <v>714000</v>
      </c>
      <c r="AD15" s="607"/>
      <c r="AE15" s="604">
        <f t="shared" si="8"/>
        <v>714000</v>
      </c>
      <c r="AF15" s="611">
        <f t="shared" si="9"/>
        <v>714000</v>
      </c>
      <c r="AG15" s="604">
        <f>'[1]Дотация  из  ОБ_факт'!AE11</f>
        <v>0</v>
      </c>
      <c r="AH15" s="772"/>
      <c r="AI15" s="599">
        <f>'План и исполнение'!LQ15+'План и исполнение'!QS15+'План и исполнение'!QU15+CQ15+CS15+CY15+DA15+BS15+CA15+'План и исполнение'!JQ15+'План и исполнение'!KA15+'План и исполнение'!EC15+'План и исполнение'!LE15+DM15+'План и исполнение'!IM15+'План и исполнение'!IS15+'План и исполнение'!MM15+'План и исполнение'!MU15+IG15+'План и исполнение'!MA15+FK15+EY15+PO15+ES15+AK15+AU15+FE15+JK15+GG15+GQ15+DG15+PU15+FQ15+EI15+QA15+NY15+GA15+CM15+HU15+IA15+NS15</f>
        <v>96331326.11999999</v>
      </c>
      <c r="AJ15" s="504">
        <f>'План и исполнение'!LV15+'План и исполнение'!QT15+'План и исполнение'!QV15+CR15+CT15+CZ15+DB15+BW15+CE15+'План и исполнение'!JV15+'План и исполнение'!KF15+'План и исполнение'!EF15+'План и исполнение'!LK15+DU15+'План и исполнение'!IP15+'План и исполнение'!IV15+'План и исполнение'!MQ15+'План и исполнение'!MY15+IJ15+'План и исполнение'!ME15+FH15+FN15+FB15+PR15+EV15+AP15+AY15+JN15+GL15+GV15+DJ15+PX15+FT15+EN15+QD15+OF15+GD15+CO15+HX15+ID15+NV15</f>
        <v>11556087.300000001</v>
      </c>
      <c r="AK15" s="504">
        <f t="shared" si="10"/>
        <v>31106021.690000001</v>
      </c>
      <c r="AL15" s="343">
        <f>[1]Субсидия_факт!DB13</f>
        <v>0</v>
      </c>
      <c r="AM15" s="516">
        <f>[1]Субсидия_факт!FF13</f>
        <v>31106021.690000001</v>
      </c>
      <c r="AN15" s="514">
        <f>[1]Субсидия_факт!FR13</f>
        <v>0</v>
      </c>
      <c r="AO15" s="516">
        <f>[1]Субсидия_факт!MZ13</f>
        <v>0</v>
      </c>
      <c r="AP15" s="504">
        <f t="shared" si="11"/>
        <v>0</v>
      </c>
      <c r="AQ15" s="479"/>
      <c r="AR15" s="479"/>
      <c r="AS15" s="479"/>
      <c r="AT15" s="479"/>
      <c r="AU15" s="504">
        <f t="shared" si="12"/>
        <v>0</v>
      </c>
      <c r="AV15" s="469">
        <f>[1]Субсидия_факт!DD13</f>
        <v>0</v>
      </c>
      <c r="AW15" s="343">
        <f>[1]Субсидия_факт!FJ13</f>
        <v>0</v>
      </c>
      <c r="AX15" s="514">
        <f>[1]Субсидия_факт!NB13</f>
        <v>0</v>
      </c>
      <c r="AY15" s="504">
        <f t="shared" si="13"/>
        <v>0</v>
      </c>
      <c r="AZ15" s="547"/>
      <c r="BA15" s="547"/>
      <c r="BB15" s="548"/>
      <c r="BC15" s="697">
        <f t="shared" si="14"/>
        <v>0</v>
      </c>
      <c r="BD15" s="680">
        <f t="shared" si="15"/>
        <v>0</v>
      </c>
      <c r="BE15" s="469">
        <f t="shared" si="16"/>
        <v>0</v>
      </c>
      <c r="BF15" s="343">
        <f t="shared" si="17"/>
        <v>0</v>
      </c>
      <c r="BG15" s="697">
        <f t="shared" si="18"/>
        <v>0</v>
      </c>
      <c r="BH15" s="647">
        <f t="shared" si="19"/>
        <v>0</v>
      </c>
      <c r="BI15" s="514">
        <f t="shared" si="20"/>
        <v>0</v>
      </c>
      <c r="BJ15" s="343">
        <f t="shared" si="21"/>
        <v>0</v>
      </c>
      <c r="BK15" s="697">
        <f t="shared" si="22"/>
        <v>0</v>
      </c>
      <c r="BL15" s="469">
        <f>[1]Субсидия_факт!DF13</f>
        <v>0</v>
      </c>
      <c r="BM15" s="343">
        <f>[1]Субсидия_факт!FL13</f>
        <v>0</v>
      </c>
      <c r="BN15" s="469">
        <f>[1]Субсидия_факт!ND13</f>
        <v>0</v>
      </c>
      <c r="BO15" s="697">
        <f t="shared" si="23"/>
        <v>0</v>
      </c>
      <c r="BP15" s="548"/>
      <c r="BQ15" s="547"/>
      <c r="BR15" s="548"/>
      <c r="BS15" s="535">
        <f t="shared" si="145"/>
        <v>26487104</v>
      </c>
      <c r="BT15" s="449">
        <f>[1]Субсидия_факт!IL13</f>
        <v>0</v>
      </c>
      <c r="BU15" s="343">
        <f>[1]Субсидия_факт!IR13</f>
        <v>26487104</v>
      </c>
      <c r="BV15" s="529">
        <f>[1]Субсидия_факт!JD13</f>
        <v>0</v>
      </c>
      <c r="BW15" s="535">
        <f t="shared" si="146"/>
        <v>0</v>
      </c>
      <c r="BX15" s="547"/>
      <c r="BY15" s="547"/>
      <c r="BZ15" s="650"/>
      <c r="CA15" s="535">
        <f t="shared" si="147"/>
        <v>0</v>
      </c>
      <c r="CB15" s="469">
        <f>[1]Субсидия_факт!IN13</f>
        <v>0</v>
      </c>
      <c r="CC15" s="343">
        <f>[1]Субсидия_факт!IT13</f>
        <v>0</v>
      </c>
      <c r="CD15" s="529">
        <f>[1]Субсидия_факт!JF13</f>
        <v>0</v>
      </c>
      <c r="CE15" s="535">
        <f t="shared" si="148"/>
        <v>0</v>
      </c>
      <c r="CF15" s="547"/>
      <c r="CG15" s="548"/>
      <c r="CH15" s="760"/>
      <c r="CI15" s="546">
        <f t="shared" si="24"/>
        <v>0</v>
      </c>
      <c r="CJ15" s="544">
        <f t="shared" si="25"/>
        <v>0</v>
      </c>
      <c r="CK15" s="543">
        <f t="shared" si="149"/>
        <v>0</v>
      </c>
      <c r="CL15" s="546">
        <f t="shared" si="150"/>
        <v>0</v>
      </c>
      <c r="CM15" s="965">
        <f t="shared" si="151"/>
        <v>0</v>
      </c>
      <c r="CN15" s="721">
        <f>[1]Субсидия_факт!FT13</f>
        <v>0</v>
      </c>
      <c r="CO15" s="965">
        <f t="shared" si="151"/>
        <v>0</v>
      </c>
      <c r="CP15" s="721"/>
      <c r="CQ15" s="534">
        <f>[1]Субсидия_факт!FV13</f>
        <v>0</v>
      </c>
      <c r="CR15" s="644"/>
      <c r="CS15" s="535">
        <f>[1]Субсидия_факт!FX13</f>
        <v>0</v>
      </c>
      <c r="CT15" s="644"/>
      <c r="CU15" s="544">
        <f t="shared" si="26"/>
        <v>0</v>
      </c>
      <c r="CV15" s="543">
        <f t="shared" si="27"/>
        <v>0</v>
      </c>
      <c r="CW15" s="610">
        <f>[1]Субсидия_факт!FZ13</f>
        <v>0</v>
      </c>
      <c r="CX15" s="643"/>
      <c r="CY15" s="542">
        <f>[1]Субсидия_факт!GB13</f>
        <v>0</v>
      </c>
      <c r="CZ15" s="341"/>
      <c r="DA15" s="534">
        <f>[1]Субсидия_факт!GD13</f>
        <v>0</v>
      </c>
      <c r="DB15" s="644"/>
      <c r="DC15" s="544">
        <f t="shared" si="28"/>
        <v>0</v>
      </c>
      <c r="DD15" s="544">
        <f t="shared" si="29"/>
        <v>0</v>
      </c>
      <c r="DE15" s="691">
        <f>[1]Субсидия_факт!GF13</f>
        <v>0</v>
      </c>
      <c r="DF15" s="342"/>
      <c r="DG15" s="504">
        <f t="shared" si="30"/>
        <v>0</v>
      </c>
      <c r="DH15" s="529">
        <f>[1]Субсидия_факт!EV13</f>
        <v>0</v>
      </c>
      <c r="DI15" s="896">
        <f>[1]Субсидия_факт!EX13</f>
        <v>0</v>
      </c>
      <c r="DJ15" s="471">
        <f t="shared" si="31"/>
        <v>0</v>
      </c>
      <c r="DK15" s="809"/>
      <c r="DL15" s="1083"/>
      <c r="DM15" s="542">
        <f t="shared" si="32"/>
        <v>0</v>
      </c>
      <c r="DN15" s="541">
        <f>[1]Субсидия_факт!R13</f>
        <v>0</v>
      </c>
      <c r="DO15" s="1210">
        <f>[1]Субсидия_факт!T13</f>
        <v>0</v>
      </c>
      <c r="DP15" s="713">
        <f>[1]Субсидия_факт!V13</f>
        <v>0</v>
      </c>
      <c r="DQ15" s="673">
        <f>[1]Субсидия_факт!X13</f>
        <v>0</v>
      </c>
      <c r="DR15" s="814">
        <f>[1]Субсидия_факт!Z13</f>
        <v>0</v>
      </c>
      <c r="DS15" s="516">
        <f>[1]Субсидия_факт!AB13</f>
        <v>0</v>
      </c>
      <c r="DT15" s="673">
        <f>[1]Субсидия_факт!AD13</f>
        <v>0</v>
      </c>
      <c r="DU15" s="535">
        <f t="shared" si="33"/>
        <v>0</v>
      </c>
      <c r="DV15" s="548"/>
      <c r="DW15" s="547"/>
      <c r="DX15" s="717"/>
      <c r="DY15" s="547"/>
      <c r="DZ15" s="717"/>
      <c r="EA15" s="548"/>
      <c r="EB15" s="1210">
        <f t="shared" si="214"/>
        <v>0</v>
      </c>
      <c r="EC15" s="504">
        <f t="shared" si="34"/>
        <v>0</v>
      </c>
      <c r="ED15" s="529">
        <f>[1]Субсидия_факт!BN13</f>
        <v>0</v>
      </c>
      <c r="EE15" s="896">
        <f>[1]Субсидия_факт!BP13</f>
        <v>0</v>
      </c>
      <c r="EF15" s="471">
        <f t="shared" si="35"/>
        <v>0</v>
      </c>
      <c r="EG15" s="809"/>
      <c r="EH15" s="1083"/>
      <c r="EI15" s="542">
        <f t="shared" si="152"/>
        <v>0</v>
      </c>
      <c r="EJ15" s="469">
        <f>[1]Субсидия_факт!AJ13</f>
        <v>0</v>
      </c>
      <c r="EK15" s="721">
        <f>[1]Субсидия_факт!AL13</f>
        <v>0</v>
      </c>
      <c r="EL15" s="449">
        <f>[1]Субсидия_факт!AN13</f>
        <v>0</v>
      </c>
      <c r="EM15" s="721">
        <f>[1]Субсидия_факт!AP13</f>
        <v>0</v>
      </c>
      <c r="EN15" s="535">
        <f t="shared" si="153"/>
        <v>0</v>
      </c>
      <c r="EO15" s="479"/>
      <c r="EP15" s="717"/>
      <c r="EQ15" s="479"/>
      <c r="ER15" s="717"/>
      <c r="ES15" s="504">
        <f t="shared" si="36"/>
        <v>0</v>
      </c>
      <c r="ET15" s="529">
        <f>[1]Субсидия_факт!AX13</f>
        <v>0</v>
      </c>
      <c r="EU15" s="789">
        <f>[1]Субсидия_факт!AZ13</f>
        <v>0</v>
      </c>
      <c r="EV15" s="471">
        <f t="shared" si="37"/>
        <v>0</v>
      </c>
      <c r="EW15" s="809"/>
      <c r="EX15" s="708"/>
      <c r="EY15" s="504">
        <f t="shared" si="38"/>
        <v>0</v>
      </c>
      <c r="EZ15" s="529">
        <f>[1]Субсидия_факт!BZ13</f>
        <v>0</v>
      </c>
      <c r="FA15" s="896">
        <f>[1]Субсидия_факт!CB13</f>
        <v>0</v>
      </c>
      <c r="FB15" s="471">
        <f t="shared" si="39"/>
        <v>0</v>
      </c>
      <c r="FC15" s="809"/>
      <c r="FD15" s="708"/>
      <c r="FE15" s="504">
        <f t="shared" si="40"/>
        <v>0</v>
      </c>
      <c r="FF15" s="529">
        <f>[1]Субсидия_факт!BR13</f>
        <v>0</v>
      </c>
      <c r="FG15" s="896">
        <f>[1]Субсидия_факт!BT13</f>
        <v>0</v>
      </c>
      <c r="FH15" s="471">
        <f t="shared" si="41"/>
        <v>0</v>
      </c>
      <c r="FI15" s="809"/>
      <c r="FJ15" s="708"/>
      <c r="FK15" s="504">
        <f t="shared" si="42"/>
        <v>0</v>
      </c>
      <c r="FL15" s="529">
        <f>[1]Субсидия_факт!KJ13</f>
        <v>0</v>
      </c>
      <c r="FM15" s="896">
        <f>[1]Субсидия_факт!KL13</f>
        <v>0</v>
      </c>
      <c r="FN15" s="471">
        <f t="shared" si="43"/>
        <v>0</v>
      </c>
      <c r="FO15" s="809"/>
      <c r="FP15" s="708"/>
      <c r="FQ15" s="504">
        <f t="shared" si="44"/>
        <v>0</v>
      </c>
      <c r="FR15" s="529">
        <f>[1]Субсидия_факт!KN13</f>
        <v>0</v>
      </c>
      <c r="FS15" s="896">
        <f>[1]Субсидия_факт!KR13</f>
        <v>0</v>
      </c>
      <c r="FT15" s="471">
        <f t="shared" si="45"/>
        <v>0</v>
      </c>
      <c r="FU15" s="809"/>
      <c r="FV15" s="708"/>
      <c r="FW15" s="695">
        <f t="shared" si="154"/>
        <v>0</v>
      </c>
      <c r="FX15" s="697">
        <f t="shared" si="155"/>
        <v>0</v>
      </c>
      <c r="FY15" s="695">
        <f t="shared" si="156"/>
        <v>0</v>
      </c>
      <c r="FZ15" s="697">
        <f t="shared" si="157"/>
        <v>0</v>
      </c>
      <c r="GA15" s="504">
        <f t="shared" si="158"/>
        <v>0</v>
      </c>
      <c r="GB15" s="1374">
        <f>[1]Субсидия_факт!BJ13</f>
        <v>0</v>
      </c>
      <c r="GC15" s="706">
        <f>[1]Субсидия_факт!BL13</f>
        <v>0</v>
      </c>
      <c r="GD15" s="504">
        <f t="shared" si="159"/>
        <v>0</v>
      </c>
      <c r="GE15" s="760"/>
      <c r="GF15" s="708"/>
      <c r="GG15" s="504">
        <f t="shared" si="46"/>
        <v>0</v>
      </c>
      <c r="GH15" s="760"/>
      <c r="GI15" s="708"/>
      <c r="GJ15" s="529"/>
      <c r="GK15" s="896"/>
      <c r="GL15" s="471">
        <f t="shared" si="47"/>
        <v>0</v>
      </c>
      <c r="GM15" s="760"/>
      <c r="GN15" s="708"/>
      <c r="GO15" s="760"/>
      <c r="GP15" s="708"/>
      <c r="GQ15" s="471">
        <f t="shared" si="160"/>
        <v>0</v>
      </c>
      <c r="GR15" s="1374">
        <f>[1]Субсидия_факт!GJ13</f>
        <v>0</v>
      </c>
      <c r="GS15" s="706">
        <f>[1]Субсидия_факт!GN13</f>
        <v>0</v>
      </c>
      <c r="GT15" s="529">
        <f>[1]Субсидия_факт!GX13</f>
        <v>0</v>
      </c>
      <c r="GU15" s="896">
        <f>[1]Субсидия_факт!HB13</f>
        <v>0</v>
      </c>
      <c r="GV15" s="471">
        <f t="shared" si="161"/>
        <v>0</v>
      </c>
      <c r="GW15" s="760"/>
      <c r="GX15" s="708"/>
      <c r="GY15" s="760"/>
      <c r="GZ15" s="708"/>
      <c r="HA15" s="695">
        <f t="shared" si="162"/>
        <v>0</v>
      </c>
      <c r="HB15" s="1374">
        <f t="shared" si="48"/>
        <v>0</v>
      </c>
      <c r="HC15" s="1375">
        <f t="shared" si="49"/>
        <v>0</v>
      </c>
      <c r="HD15" s="529">
        <f t="shared" si="50"/>
        <v>0</v>
      </c>
      <c r="HE15" s="896">
        <f t="shared" si="51"/>
        <v>0</v>
      </c>
      <c r="HF15" s="695">
        <f t="shared" si="163"/>
        <v>0</v>
      </c>
      <c r="HG15" s="1374">
        <f t="shared" si="52"/>
        <v>0</v>
      </c>
      <c r="HH15" s="1375">
        <f t="shared" si="53"/>
        <v>0</v>
      </c>
      <c r="HI15" s="529">
        <f t="shared" si="54"/>
        <v>0</v>
      </c>
      <c r="HJ15" s="896">
        <f t="shared" si="55"/>
        <v>0</v>
      </c>
      <c r="HK15" s="695">
        <f t="shared" si="164"/>
        <v>0</v>
      </c>
      <c r="HL15" s="1374">
        <f>[1]Субсидия_факт!GL13</f>
        <v>0</v>
      </c>
      <c r="HM15" s="706">
        <f>[1]Субсидия_факт!GP13</f>
        <v>0</v>
      </c>
      <c r="HN15" s="529">
        <f>[1]Субсидия_факт!GZ13</f>
        <v>0</v>
      </c>
      <c r="HO15" s="896">
        <f>[1]Субсидия_факт!HD13</f>
        <v>0</v>
      </c>
      <c r="HP15" s="695">
        <f t="shared" si="165"/>
        <v>0</v>
      </c>
      <c r="HQ15" s="760"/>
      <c r="HR15" s="708"/>
      <c r="HS15" s="760"/>
      <c r="HT15" s="708"/>
      <c r="HU15" s="542">
        <f t="shared" si="56"/>
        <v>0</v>
      </c>
      <c r="HV15" s="531">
        <f>[1]Субсидия_факт!N13</f>
        <v>0</v>
      </c>
      <c r="HW15" s="789">
        <f>[1]Субсидия_факт!P13</f>
        <v>0</v>
      </c>
      <c r="HX15" s="535">
        <f t="shared" si="57"/>
        <v>0</v>
      </c>
      <c r="HY15" s="547"/>
      <c r="HZ15" s="739"/>
      <c r="IA15" s="542">
        <f t="shared" si="58"/>
        <v>0</v>
      </c>
      <c r="IB15" s="541">
        <f>[1]Субсидия_факт!DZ13</f>
        <v>0</v>
      </c>
      <c r="IC15" s="721">
        <f>[1]Субсидия_факт!EB13</f>
        <v>0</v>
      </c>
      <c r="ID15" s="534">
        <f t="shared" si="59"/>
        <v>0</v>
      </c>
      <c r="IE15" s="547"/>
      <c r="IF15" s="739"/>
      <c r="IG15" s="542">
        <f t="shared" si="166"/>
        <v>0</v>
      </c>
      <c r="IH15" s="531">
        <f>[1]Субсидия_факт!EP13</f>
        <v>0</v>
      </c>
      <c r="II15" s="789">
        <f>[1]Субсидия_факт!ER13</f>
        <v>0</v>
      </c>
      <c r="IJ15" s="535">
        <f t="shared" si="167"/>
        <v>0</v>
      </c>
      <c r="IK15" s="547"/>
      <c r="IL15" s="739"/>
      <c r="IM15" s="599">
        <f t="shared" si="62"/>
        <v>925829.62000000011</v>
      </c>
      <c r="IN15" s="529">
        <f>[1]Субсидия_факт!ED13</f>
        <v>259233.57</v>
      </c>
      <c r="IO15" s="896">
        <f>[1]Субсидия_факт!EJ13</f>
        <v>666596.05000000005</v>
      </c>
      <c r="IP15" s="471">
        <f t="shared" si="63"/>
        <v>0</v>
      </c>
      <c r="IQ15" s="760">
        <v>0</v>
      </c>
      <c r="IR15" s="708"/>
      <c r="IS15" s="471">
        <f t="shared" si="64"/>
        <v>0</v>
      </c>
      <c r="IT15" s="529">
        <f>[1]Субсидия_факт!EF13</f>
        <v>0</v>
      </c>
      <c r="IU15" s="789">
        <f>[1]Субсидия_факт!EL13</f>
        <v>0</v>
      </c>
      <c r="IV15" s="471">
        <f t="shared" si="65"/>
        <v>0</v>
      </c>
      <c r="IW15" s="650"/>
      <c r="IX15" s="742"/>
      <c r="IY15" s="697">
        <f t="shared" si="66"/>
        <v>0</v>
      </c>
      <c r="IZ15" s="787">
        <f>'План и исполнение'!IT15-'План и исполнение'!JF15</f>
        <v>0</v>
      </c>
      <c r="JA15" s="706">
        <f>'План и исполнение'!IU15-'План и исполнение'!JG15</f>
        <v>0</v>
      </c>
      <c r="JB15" s="691">
        <f t="shared" si="67"/>
        <v>0</v>
      </c>
      <c r="JC15" s="793">
        <f>'План и исполнение'!IW15-'План и исполнение'!JI15</f>
        <v>0</v>
      </c>
      <c r="JD15" s="804">
        <f>'План и исполнение'!IX15-'План и исполнение'!JJ15</f>
        <v>0</v>
      </c>
      <c r="JE15" s="697">
        <f t="shared" si="68"/>
        <v>0</v>
      </c>
      <c r="JF15" s="529">
        <f>[1]Субсидия_факт!EH13</f>
        <v>0</v>
      </c>
      <c r="JG15" s="896">
        <f>[1]Субсидия_факт!EN13</f>
        <v>0</v>
      </c>
      <c r="JH15" s="697">
        <f t="shared" si="69"/>
        <v>0</v>
      </c>
      <c r="JI15" s="529"/>
      <c r="JJ15" s="789"/>
      <c r="JK15" s="471">
        <f t="shared" si="70"/>
        <v>0</v>
      </c>
      <c r="JL15" s="793">
        <f>[1]Субсидия_факт!AR13</f>
        <v>0</v>
      </c>
      <c r="JM15" s="706">
        <f>[1]Субсидия_факт!AT13</f>
        <v>0</v>
      </c>
      <c r="JN15" s="471">
        <f t="shared" si="71"/>
        <v>0</v>
      </c>
      <c r="JO15" s="650"/>
      <c r="JP15" s="708"/>
      <c r="JQ15" s="785">
        <f t="shared" si="72"/>
        <v>0</v>
      </c>
      <c r="JR15" s="793">
        <f>[1]Субсидия_факт!CJ13</f>
        <v>0</v>
      </c>
      <c r="JS15" s="706">
        <f>[1]Субсидия_факт!CP13</f>
        <v>0</v>
      </c>
      <c r="JT15" s="529">
        <f>[1]Субсидия_факт!DN13</f>
        <v>0</v>
      </c>
      <c r="JU15" s="896">
        <f>[1]Субсидия_факт!DT13</f>
        <v>0</v>
      </c>
      <c r="JV15" s="471">
        <f t="shared" si="73"/>
        <v>0</v>
      </c>
      <c r="JW15" s="650"/>
      <c r="JX15" s="708"/>
      <c r="JY15" s="650"/>
      <c r="JZ15" s="892"/>
      <c r="KA15" s="785">
        <f t="shared" si="74"/>
        <v>0</v>
      </c>
      <c r="KB15" s="793">
        <f>[1]Субсидия_факт!CL13</f>
        <v>0</v>
      </c>
      <c r="KC15" s="706">
        <f>[1]Субсидия_факт!CR13</f>
        <v>0</v>
      </c>
      <c r="KD15" s="529">
        <f>[1]Субсидия_факт!DP13</f>
        <v>0</v>
      </c>
      <c r="KE15" s="896">
        <f>[1]Субсидия_факт!DV13</f>
        <v>0</v>
      </c>
      <c r="KF15" s="471">
        <f t="shared" si="75"/>
        <v>0</v>
      </c>
      <c r="KG15" s="650"/>
      <c r="KH15" s="708"/>
      <c r="KI15" s="809"/>
      <c r="KJ15" s="708"/>
      <c r="KK15" s="788">
        <f t="shared" si="76"/>
        <v>0</v>
      </c>
      <c r="KL15" s="793">
        <f>'План и исполнение'!KB15-KV15</f>
        <v>0</v>
      </c>
      <c r="KM15" s="706">
        <f>'План и исполнение'!KC15-KW15</f>
        <v>0</v>
      </c>
      <c r="KN15" s="787">
        <f>'План и исполнение'!KD15-KX15</f>
        <v>0</v>
      </c>
      <c r="KO15" s="706">
        <f>'План и исполнение'!KE15-KY15</f>
        <v>0</v>
      </c>
      <c r="KP15" s="788">
        <f t="shared" si="77"/>
        <v>0</v>
      </c>
      <c r="KQ15" s="793">
        <f>'План и исполнение'!KG15-LA15</f>
        <v>0</v>
      </c>
      <c r="KR15" s="830">
        <f>'План и исполнение'!KH15-LB15</f>
        <v>0</v>
      </c>
      <c r="KS15" s="793">
        <f>'План и исполнение'!KI15-LC15</f>
        <v>0</v>
      </c>
      <c r="KT15" s="804">
        <f>'План и исполнение'!KJ15-LD15</f>
        <v>0</v>
      </c>
      <c r="KU15" s="697">
        <f t="shared" si="78"/>
        <v>0</v>
      </c>
      <c r="KV15" s="793">
        <f>[1]Субсидия_факт!CN13</f>
        <v>0</v>
      </c>
      <c r="KW15" s="706">
        <f>[1]Субсидия_факт!CT13</f>
        <v>0</v>
      </c>
      <c r="KX15" s="529">
        <f>[1]Субсидия_факт!DR13</f>
        <v>0</v>
      </c>
      <c r="KY15" s="896">
        <f>[1]Субсидия_факт!DX13</f>
        <v>0</v>
      </c>
      <c r="KZ15" s="697">
        <f t="shared" si="79"/>
        <v>0</v>
      </c>
      <c r="LA15" s="650"/>
      <c r="LB15" s="708"/>
      <c r="LC15" s="531"/>
      <c r="LD15" s="1639"/>
      <c r="LE15" s="504">
        <f t="shared" si="168"/>
        <v>0</v>
      </c>
      <c r="LF15" s="529">
        <f>[1]Субсидия_факт!CD13</f>
        <v>0</v>
      </c>
      <c r="LG15" s="789">
        <f>[1]Субсидия_факт!CF13</f>
        <v>0</v>
      </c>
      <c r="LH15" s="529">
        <f>[1]Субсидия_факт!BV13</f>
        <v>0</v>
      </c>
      <c r="LI15" s="789">
        <f>[1]Субсидия_факт!BX13</f>
        <v>0</v>
      </c>
      <c r="LJ15" s="529">
        <f>[1]Субсидия_факт!CH13</f>
        <v>0</v>
      </c>
      <c r="LK15" s="471">
        <f t="shared" si="169"/>
        <v>0</v>
      </c>
      <c r="LL15" s="650"/>
      <c r="LM15" s="708"/>
      <c r="LN15" s="650"/>
      <c r="LO15" s="708"/>
      <c r="LP15" s="650"/>
      <c r="LQ15" s="504">
        <f t="shared" si="80"/>
        <v>0</v>
      </c>
      <c r="LR15" s="516">
        <f>[1]Субсидия_факт!HN13</f>
        <v>0</v>
      </c>
      <c r="LS15" s="529">
        <f>[1]Субсидия_факт!HL13</f>
        <v>0</v>
      </c>
      <c r="LT15" s="541">
        <f>[1]Субсидия_факт!HV13</f>
        <v>0</v>
      </c>
      <c r="LU15" s="721">
        <f>[1]Субсидия_факт!HX13</f>
        <v>0</v>
      </c>
      <c r="LV15" s="471">
        <f t="shared" si="81"/>
        <v>0</v>
      </c>
      <c r="LW15" s="344"/>
      <c r="LX15" s="650"/>
      <c r="LY15" s="479"/>
      <c r="LZ15" s="717"/>
      <c r="MA15" s="471">
        <f t="shared" si="82"/>
        <v>0</v>
      </c>
      <c r="MB15" s="531">
        <f>[1]Субсидия_факт!HT13</f>
        <v>0</v>
      </c>
      <c r="MC15" s="531">
        <f>[1]Субсидия_факт!HP13</f>
        <v>0</v>
      </c>
      <c r="MD15" s="789">
        <f>[1]Субсидия_факт!HR13</f>
        <v>0</v>
      </c>
      <c r="ME15" s="471">
        <f t="shared" si="83"/>
        <v>0</v>
      </c>
      <c r="MF15" s="793">
        <f t="shared" si="170"/>
        <v>0</v>
      </c>
      <c r="MG15" s="650"/>
      <c r="MH15" s="708"/>
      <c r="MI15" s="893">
        <f t="shared" si="84"/>
        <v>0</v>
      </c>
      <c r="MJ15" s="893">
        <f t="shared" si="85"/>
        <v>0</v>
      </c>
      <c r="MK15" s="695">
        <f t="shared" si="86"/>
        <v>0</v>
      </c>
      <c r="ML15" s="1028">
        <f t="shared" si="87"/>
        <v>0</v>
      </c>
      <c r="MM15" s="791">
        <f t="shared" ref="MM15:MM29" si="216">SUM(MN15:MP15)</f>
        <v>0</v>
      </c>
      <c r="MN15" s="529">
        <f>[1]Субсидия_факт!LH13</f>
        <v>0</v>
      </c>
      <c r="MO15" s="896">
        <f>[1]Субсидия_факт!LN13</f>
        <v>0</v>
      </c>
      <c r="MP15" s="531"/>
      <c r="MQ15" s="791">
        <f t="shared" si="171"/>
        <v>0</v>
      </c>
      <c r="MR15" s="809"/>
      <c r="MS15" s="708"/>
      <c r="MT15" s="531"/>
      <c r="MU15" s="791">
        <f t="shared" si="172"/>
        <v>7500000</v>
      </c>
      <c r="MV15" s="529">
        <f>[1]Субсидия_факт!LJ13</f>
        <v>0</v>
      </c>
      <c r="MW15" s="896">
        <f>[1]Субсидия_факт!LP13</f>
        <v>0</v>
      </c>
      <c r="MX15" s="531">
        <f>[1]Субсидия_факт!LT13</f>
        <v>7500000</v>
      </c>
      <c r="MY15" s="791">
        <f t="shared" si="173"/>
        <v>5868500.6900000004</v>
      </c>
      <c r="MZ15" s="650"/>
      <c r="NA15" s="808"/>
      <c r="NB15" s="650">
        <v>5868500.6900000004</v>
      </c>
      <c r="NC15" s="792">
        <f t="shared" si="175"/>
        <v>7500000</v>
      </c>
      <c r="ND15" s="680">
        <f>'План и исполнение'!MV15-NL15</f>
        <v>0</v>
      </c>
      <c r="NE15" s="713">
        <f>'План и исполнение'!MW15-NM15</f>
        <v>0</v>
      </c>
      <c r="NF15" s="647">
        <f>'План и исполнение'!MX15-NN15</f>
        <v>7500000</v>
      </c>
      <c r="NG15" s="792">
        <f t="shared" si="176"/>
        <v>5868500.6900000004</v>
      </c>
      <c r="NH15" s="787">
        <f>'План и исполнение'!MZ15-NP15</f>
        <v>0</v>
      </c>
      <c r="NI15" s="706">
        <f>'План и исполнение'!NA15-NQ15</f>
        <v>0</v>
      </c>
      <c r="NJ15" s="793">
        <f>'План и исполнение'!NB15-NR15</f>
        <v>5868500.6900000004</v>
      </c>
      <c r="NK15" s="792">
        <f t="shared" si="177"/>
        <v>0</v>
      </c>
      <c r="NL15" s="529">
        <f>[1]Субсидия_факт!LL13</f>
        <v>0</v>
      </c>
      <c r="NM15" s="896">
        <f>[1]Субсидия_факт!LR13</f>
        <v>0</v>
      </c>
      <c r="NN15" s="529">
        <f>[1]Субсидия_факт!LV13</f>
        <v>0</v>
      </c>
      <c r="NO15" s="792">
        <f t="shared" si="178"/>
        <v>0</v>
      </c>
      <c r="NP15" s="787">
        <f t="shared" si="179"/>
        <v>0</v>
      </c>
      <c r="NQ15" s="706">
        <f t="shared" si="180"/>
        <v>0</v>
      </c>
      <c r="NR15" s="529">
        <f t="shared" si="215"/>
        <v>0</v>
      </c>
      <c r="NS15" s="535">
        <f t="shared" si="181"/>
        <v>0</v>
      </c>
      <c r="NT15" s="1285">
        <f>[1]Субсидия_факт!NF13</f>
        <v>0</v>
      </c>
      <c r="NU15" s="713">
        <f>[1]Субсидия_факт!NH13</f>
        <v>0</v>
      </c>
      <c r="NV15" s="535">
        <f t="shared" si="182"/>
        <v>0</v>
      </c>
      <c r="NW15" s="344"/>
      <c r="NX15" s="739"/>
      <c r="NY15" s="535">
        <f t="shared" si="183"/>
        <v>5922684.0800000001</v>
      </c>
      <c r="NZ15" s="1194">
        <f>[1]Субсидия_факт!LX13</f>
        <v>0</v>
      </c>
      <c r="OA15" s="1295">
        <f>[1]Субсидия_факт!MB13</f>
        <v>0</v>
      </c>
      <c r="OB15" s="1194">
        <f>[1]Субсидия_факт!MF13</f>
        <v>1658351.55</v>
      </c>
      <c r="OC15" s="713">
        <f>[1]Субсидия_факт!MJ13</f>
        <v>4264332.53</v>
      </c>
      <c r="OD15" s="1285">
        <f>[1]Субсидия_факт!NJ13</f>
        <v>0</v>
      </c>
      <c r="OE15" s="713">
        <f>[1]Субсидия_факт!NN13</f>
        <v>0</v>
      </c>
      <c r="OF15" s="535">
        <f t="shared" si="184"/>
        <v>0</v>
      </c>
      <c r="OG15" s="493"/>
      <c r="OH15" s="746"/>
      <c r="OI15" s="344"/>
      <c r="OJ15" s="739"/>
      <c r="OK15" s="493"/>
      <c r="OL15" s="746"/>
      <c r="OM15" s="610">
        <f t="shared" si="185"/>
        <v>5922684.0800000001</v>
      </c>
      <c r="ON15" s="1194">
        <f t="shared" si="88"/>
        <v>0</v>
      </c>
      <c r="OO15" s="713">
        <f t="shared" si="89"/>
        <v>0</v>
      </c>
      <c r="OP15" s="493">
        <f t="shared" si="90"/>
        <v>1658351.55</v>
      </c>
      <c r="OQ15" s="713">
        <f t="shared" si="91"/>
        <v>4264332.53</v>
      </c>
      <c r="OR15" s="1285">
        <f t="shared" si="92"/>
        <v>0</v>
      </c>
      <c r="OS15" s="713">
        <f t="shared" si="93"/>
        <v>0</v>
      </c>
      <c r="OT15" s="610">
        <f t="shared" si="186"/>
        <v>0</v>
      </c>
      <c r="OU15" s="1194">
        <f t="shared" si="94"/>
        <v>0</v>
      </c>
      <c r="OV15" s="713">
        <f t="shared" si="95"/>
        <v>0</v>
      </c>
      <c r="OW15" s="493">
        <f t="shared" si="96"/>
        <v>0</v>
      </c>
      <c r="OX15" s="713">
        <f t="shared" si="97"/>
        <v>0</v>
      </c>
      <c r="OY15" s="1285">
        <f t="shared" si="98"/>
        <v>0</v>
      </c>
      <c r="OZ15" s="713">
        <f t="shared" si="99"/>
        <v>0</v>
      </c>
      <c r="PA15" s="610">
        <f t="shared" si="187"/>
        <v>0</v>
      </c>
      <c r="PB15" s="1194">
        <f>[1]Субсидия_факт!LZ13</f>
        <v>0</v>
      </c>
      <c r="PC15" s="1295">
        <f>[1]Субсидия_факт!MD13</f>
        <v>0</v>
      </c>
      <c r="PD15" s="1194">
        <f>[1]Субсидия_факт!MH13</f>
        <v>0</v>
      </c>
      <c r="PE15" s="713">
        <f>[1]Субсидия_факт!ML13</f>
        <v>0</v>
      </c>
      <c r="PF15" s="991">
        <f>[1]Субсидия_факт!NL13</f>
        <v>0</v>
      </c>
      <c r="PG15" s="801">
        <f>[1]Субсидия_факт!NP13</f>
        <v>0</v>
      </c>
      <c r="PH15" s="610">
        <f t="shared" si="188"/>
        <v>0</v>
      </c>
      <c r="PI15" s="991"/>
      <c r="PJ15" s="746"/>
      <c r="PK15" s="493"/>
      <c r="PL15" s="746"/>
      <c r="PM15" s="493"/>
      <c r="PN15" s="746"/>
      <c r="PO15" s="504">
        <f t="shared" si="100"/>
        <v>0</v>
      </c>
      <c r="PP15" s="529">
        <f>[1]Субсидия_факт!AF13</f>
        <v>0</v>
      </c>
      <c r="PQ15" s="896">
        <f>[1]Субсидия_факт!AH13</f>
        <v>0</v>
      </c>
      <c r="PR15" s="471">
        <f t="shared" si="101"/>
        <v>0</v>
      </c>
      <c r="PS15" s="809"/>
      <c r="PT15" s="708"/>
      <c r="PU15" s="535">
        <f t="shared" si="102"/>
        <v>0</v>
      </c>
      <c r="PV15" s="673">
        <f>[1]Субсидия_факт!MN13</f>
        <v>0</v>
      </c>
      <c r="PW15" s="814">
        <f>[1]Субсидия_факт!MP13</f>
        <v>0</v>
      </c>
      <c r="PX15" s="535">
        <f t="shared" si="103"/>
        <v>0</v>
      </c>
      <c r="PY15" s="1377"/>
      <c r="PZ15" s="717"/>
      <c r="QA15" s="535">
        <f t="shared" si="104"/>
        <v>0</v>
      </c>
      <c r="QB15" s="1194">
        <f>[1]Субсидия_факт!MR13</f>
        <v>0</v>
      </c>
      <c r="QC15" s="713">
        <f>[1]Субсидия_факт!MV13</f>
        <v>0</v>
      </c>
      <c r="QD15" s="535">
        <f t="shared" si="105"/>
        <v>0</v>
      </c>
      <c r="QE15" s="479"/>
      <c r="QF15" s="717"/>
      <c r="QG15" s="610">
        <f t="shared" si="106"/>
        <v>0</v>
      </c>
      <c r="QH15" s="1194">
        <f t="shared" si="107"/>
        <v>0</v>
      </c>
      <c r="QI15" s="713">
        <f t="shared" si="108"/>
        <v>0</v>
      </c>
      <c r="QJ15" s="610">
        <f t="shared" si="109"/>
        <v>0</v>
      </c>
      <c r="QK15" s="1194">
        <f t="shared" si="110"/>
        <v>0</v>
      </c>
      <c r="QL15" s="713">
        <f t="shared" si="111"/>
        <v>0</v>
      </c>
      <c r="QM15" s="610">
        <f t="shared" si="112"/>
        <v>0</v>
      </c>
      <c r="QN15" s="1210">
        <f>[1]Субсидия_факт!MT13</f>
        <v>0</v>
      </c>
      <c r="QO15" s="713">
        <f>[1]Субсидия_факт!MX13</f>
        <v>0</v>
      </c>
      <c r="QP15" s="610">
        <f t="shared" si="113"/>
        <v>0</v>
      </c>
      <c r="QQ15" s="479"/>
      <c r="QR15" s="717"/>
      <c r="QS15" s="535">
        <f>'Прочая  субсидия_МР  и  ГО'!B11</f>
        <v>11821254.149999999</v>
      </c>
      <c r="QT15" s="535">
        <f>'Прочая  субсидия_МР  и  ГО'!C11</f>
        <v>4660717.379999999</v>
      </c>
      <c r="QU15" s="540">
        <f>'Прочая  субсидия_БП'!B11</f>
        <v>12568432.58</v>
      </c>
      <c r="QV15" s="542">
        <f>'Прочая  субсидия_БП'!C11</f>
        <v>1026869.2300000001</v>
      </c>
      <c r="QW15" s="605">
        <f>'Прочая  субсидия_БП'!D11</f>
        <v>12568432.58</v>
      </c>
      <c r="QX15" s="604">
        <f>'Прочая  субсидия_БП'!E11</f>
        <v>1026869.2300000001</v>
      </c>
      <c r="QY15" s="611">
        <f>'Прочая  субсидия_БП'!F11</f>
        <v>0</v>
      </c>
      <c r="QZ15" s="605">
        <f>'Прочая  субсидия_БП'!G11</f>
        <v>0</v>
      </c>
      <c r="RA15" s="542">
        <f t="shared" si="189"/>
        <v>372484630</v>
      </c>
      <c r="RB15" s="469">
        <f>'План и исполнение'!RZ15+'План и исполнение'!RG15+'План и исполнение'!RI15+'План и исполнение'!RK15</f>
        <v>367657230</v>
      </c>
      <c r="RC15" s="343">
        <f>'План и исполнение'!SB15+'План и исполнение'!RM15+'План и исполнение'!RS15+'План и исполнение'!RO15+'План и исполнение'!RQ15+RU15+RW15+SA15</f>
        <v>4827400</v>
      </c>
      <c r="RD15" s="534">
        <f t="shared" si="190"/>
        <v>214357133.00999999</v>
      </c>
      <c r="RE15" s="541">
        <f>'План и исполнение'!SD15+'План и исполнение'!RH15+'План и исполнение'!RJ15+'План и исполнение'!RL15</f>
        <v>211624735</v>
      </c>
      <c r="RF15" s="343">
        <f>'План и исполнение'!SF15+'План и исполнение'!RN15+'План и исполнение'!RT15+'План и исполнение'!RP15+'План и исполнение'!RR15+RV15+RX15+SE15</f>
        <v>2732398.01</v>
      </c>
      <c r="RG15" s="599">
        <f>'Субвенция  на  полномочия'!B11</f>
        <v>350134030</v>
      </c>
      <c r="RH15" s="471">
        <f>'Субвенция  на  полномочия'!C11</f>
        <v>204336735</v>
      </c>
      <c r="RI15" s="768">
        <f>[1]Субвенция_факт!P12*1000</f>
        <v>13741100</v>
      </c>
      <c r="RJ15" s="771">
        <v>5200000</v>
      </c>
      <c r="RK15" s="768">
        <f>[1]Субвенция_факт!K12*1000</f>
        <v>2909800</v>
      </c>
      <c r="RL15" s="771">
        <v>1500000</v>
      </c>
      <c r="RM15" s="768">
        <f>[1]Субвенция_факт!AF12*1000</f>
        <v>1877400</v>
      </c>
      <c r="RN15" s="771">
        <v>938800</v>
      </c>
      <c r="RO15" s="768">
        <f>[1]Субвенция_факт!AG12*1000</f>
        <v>0</v>
      </c>
      <c r="RP15" s="771">
        <v>0</v>
      </c>
      <c r="RQ15" s="768">
        <f>[1]Субвенция_факт!E12*1000</f>
        <v>0</v>
      </c>
      <c r="RR15" s="771"/>
      <c r="RS15" s="768">
        <f>[1]Субвенция_факт!F12*1000</f>
        <v>0</v>
      </c>
      <c r="RT15" s="877"/>
      <c r="RU15" s="168">
        <f>[1]Субвенция_факт!G12*1000</f>
        <v>0</v>
      </c>
      <c r="RV15" s="1241"/>
      <c r="RW15" s="168">
        <f>[1]Субвенция_факт!H12*1000</f>
        <v>0</v>
      </c>
      <c r="RX15" s="878"/>
      <c r="RY15" s="504">
        <f t="shared" si="191"/>
        <v>3822300</v>
      </c>
      <c r="RZ15" s="887">
        <f>[1]Субвенция_факт!AE12*1000</f>
        <v>872300</v>
      </c>
      <c r="SA15" s="882">
        <f>[1]Субвенция_факт!AD12*1000</f>
        <v>0</v>
      </c>
      <c r="SB15" s="1158">
        <f>[1]Субвенция_факт!AC12*1000</f>
        <v>2950000</v>
      </c>
      <c r="SC15" s="535">
        <f t="shared" si="116"/>
        <v>2381598.0099999998</v>
      </c>
      <c r="SD15" s="974">
        <v>588000</v>
      </c>
      <c r="SE15" s="1645"/>
      <c r="SF15" s="1652">
        <v>1793598.01</v>
      </c>
      <c r="SG15" s="279">
        <f>'План и исполнение'!VI15+'План и исполнение'!VA15+'План и исполнение'!TA15+'План и исполнение'!TE15+UO15+UU15+SO15+SS15+TM15+TQ15+UE15+SI15+TY15</f>
        <v>0</v>
      </c>
      <c r="SH15" s="168">
        <f>'План и исполнение'!VK15+'План и исполнение'!VE15+'План и исполнение'!TC15+'План и исполнение'!TG15+UR15+UX15+SQ15+SU15+TO15+TS15+UH15+SL15+UB15</f>
        <v>0</v>
      </c>
      <c r="SI15" s="540">
        <f t="shared" si="117"/>
        <v>0</v>
      </c>
      <c r="SJ15" s="887">
        <f>'[1]Иные межбюджетные трансферты'!E13</f>
        <v>0</v>
      </c>
      <c r="SK15" s="945">
        <f>'[1]Иные межбюджетные трансферты'!G13</f>
        <v>0</v>
      </c>
      <c r="SL15" s="535">
        <f t="shared" si="118"/>
        <v>0</v>
      </c>
      <c r="SM15" s="1323"/>
      <c r="SN15" s="1464"/>
      <c r="SO15" s="1335">
        <f t="shared" si="192"/>
        <v>0</v>
      </c>
      <c r="SP15" s="1115">
        <f>'[1]Иные межбюджетные трансферты'!W13</f>
        <v>0</v>
      </c>
      <c r="SQ15" s="1333">
        <f t="shared" si="193"/>
        <v>0</v>
      </c>
      <c r="SR15" s="1334"/>
      <c r="SS15" s="1336">
        <f t="shared" si="194"/>
        <v>0</v>
      </c>
      <c r="ST15" s="1115">
        <f>'[1]Иные межбюджетные трансферты'!Y13</f>
        <v>0</v>
      </c>
      <c r="SU15" s="1344">
        <f t="shared" si="195"/>
        <v>0</v>
      </c>
      <c r="SV15" s="1334"/>
      <c r="SW15" s="1336">
        <f t="shared" si="196"/>
        <v>0</v>
      </c>
      <c r="SX15" s="1344">
        <f t="shared" si="197"/>
        <v>0</v>
      </c>
      <c r="SY15" s="1355">
        <f t="shared" si="198"/>
        <v>0</v>
      </c>
      <c r="SZ15" s="1344">
        <f t="shared" si="199"/>
        <v>0</v>
      </c>
      <c r="TA15" s="1350">
        <f t="shared" si="119"/>
        <v>0</v>
      </c>
      <c r="TB15" s="1115">
        <f>'[1]Иные межбюджетные трансферты'!AC13</f>
        <v>0</v>
      </c>
      <c r="TC15" s="965">
        <f t="shared" si="120"/>
        <v>0</v>
      </c>
      <c r="TD15" s="945"/>
      <c r="TE15" s="971">
        <f t="shared" si="121"/>
        <v>0</v>
      </c>
      <c r="TF15" s="1115">
        <f>'[1]Иные межбюджетные трансферты'!AE13</f>
        <v>0</v>
      </c>
      <c r="TG15" s="965">
        <f t="shared" si="122"/>
        <v>0</v>
      </c>
      <c r="TH15" s="1214"/>
      <c r="TI15" s="968">
        <f t="shared" si="123"/>
        <v>0</v>
      </c>
      <c r="TJ15" s="962">
        <f t="shared" si="124"/>
        <v>0</v>
      </c>
      <c r="TK15" s="1219">
        <f t="shared" si="200"/>
        <v>0</v>
      </c>
      <c r="TL15" s="962">
        <f t="shared" si="201"/>
        <v>0</v>
      </c>
      <c r="TM15" s="971">
        <f t="shared" si="125"/>
        <v>0</v>
      </c>
      <c r="TN15" s="1115">
        <f>'[1]Иные межбюджетные трансферты'!AI13</f>
        <v>0</v>
      </c>
      <c r="TO15" s="965">
        <f t="shared" si="126"/>
        <v>0</v>
      </c>
      <c r="TP15" s="945"/>
      <c r="TQ15" s="971">
        <f t="shared" si="127"/>
        <v>0</v>
      </c>
      <c r="TR15" s="1115">
        <f>'[1]Иные межбюджетные трансферты'!AK13</f>
        <v>0</v>
      </c>
      <c r="TS15" s="965">
        <f t="shared" si="128"/>
        <v>0</v>
      </c>
      <c r="TT15" s="1214"/>
      <c r="TU15" s="968">
        <f t="shared" si="129"/>
        <v>0</v>
      </c>
      <c r="TV15" s="962">
        <f t="shared" si="130"/>
        <v>0</v>
      </c>
      <c r="TW15" s="1219">
        <f t="shared" si="202"/>
        <v>0</v>
      </c>
      <c r="TX15" s="968">
        <f t="shared" si="203"/>
        <v>0</v>
      </c>
      <c r="TY15" s="971">
        <f t="shared" si="204"/>
        <v>0</v>
      </c>
      <c r="TZ15" s="1210"/>
      <c r="UA15" s="713"/>
      <c r="UB15" s="971">
        <f t="shared" si="205"/>
        <v>0</v>
      </c>
      <c r="UC15" s="810"/>
      <c r="UD15" s="717"/>
      <c r="UE15" s="971">
        <f t="shared" si="206"/>
        <v>0</v>
      </c>
      <c r="UF15" s="1210">
        <f>'[1]Иные межбюджетные трансферты'!AS13</f>
        <v>0</v>
      </c>
      <c r="UG15" s="713">
        <f>'[1]Иные межбюджетные трансферты'!AW13</f>
        <v>0</v>
      </c>
      <c r="UH15" s="965">
        <f t="shared" si="207"/>
        <v>0</v>
      </c>
      <c r="UI15" s="1484"/>
      <c r="UJ15" s="804"/>
      <c r="UK15" s="865">
        <f t="shared" si="208"/>
        <v>0</v>
      </c>
      <c r="UL15" s="865">
        <f t="shared" si="209"/>
        <v>0</v>
      </c>
      <c r="UM15" s="865">
        <f t="shared" si="210"/>
        <v>0</v>
      </c>
      <c r="UN15" s="1493">
        <f t="shared" si="211"/>
        <v>0</v>
      </c>
      <c r="UO15" s="1267">
        <f t="shared" si="131"/>
        <v>0</v>
      </c>
      <c r="UP15" s="1029">
        <f>'[1]Иные межбюджетные трансферты'!S13</f>
        <v>0</v>
      </c>
      <c r="UQ15" s="1266">
        <f>'[1]Иные межбюджетные трансферты'!U13</f>
        <v>0</v>
      </c>
      <c r="UR15" s="769">
        <f t="shared" si="132"/>
        <v>0</v>
      </c>
      <c r="US15" s="1029"/>
      <c r="UT15" s="1266"/>
      <c r="UU15" s="1267">
        <f t="shared" si="133"/>
        <v>0</v>
      </c>
      <c r="UV15" s="1029">
        <f>'[1]Иные межбюджетные трансферты'!O13</f>
        <v>0</v>
      </c>
      <c r="UW15" s="1266">
        <f>'[1]Иные межбюджетные трансферты'!Q13</f>
        <v>0</v>
      </c>
      <c r="UX15" s="769">
        <f t="shared" si="134"/>
        <v>0</v>
      </c>
      <c r="UY15" s="1029"/>
      <c r="UZ15" s="1266"/>
      <c r="VA15" s="888">
        <f t="shared" si="212"/>
        <v>0</v>
      </c>
      <c r="VB15" s="887">
        <f>'[1]Иные межбюджетные трансферты'!I13</f>
        <v>0</v>
      </c>
      <c r="VC15" s="945">
        <f>'[1]Иные межбюджетные трансферты'!K13</f>
        <v>0</v>
      </c>
      <c r="VD15" s="1158">
        <f>'[1]Иные межбюджетные трансферты'!M13</f>
        <v>0</v>
      </c>
      <c r="VE15" s="888">
        <f t="shared" si="213"/>
        <v>0</v>
      </c>
      <c r="VF15" s="980"/>
      <c r="VG15" s="978"/>
      <c r="VH15" s="1323"/>
      <c r="VI15" s="528">
        <f t="shared" si="135"/>
        <v>0</v>
      </c>
      <c r="VJ15" s="882"/>
      <c r="VK15" s="888">
        <f t="shared" si="136"/>
        <v>0</v>
      </c>
      <c r="VL15" s="531"/>
      <c r="VM15" s="893">
        <f t="shared" si="137"/>
        <v>0</v>
      </c>
      <c r="VN15" s="529"/>
      <c r="VO15" s="893">
        <f t="shared" si="138"/>
        <v>0</v>
      </c>
      <c r="VP15" s="529"/>
      <c r="VQ15" s="893">
        <f t="shared" si="139"/>
        <v>0</v>
      </c>
      <c r="VR15" s="882"/>
      <c r="VS15" s="1028">
        <f t="shared" si="140"/>
        <v>0</v>
      </c>
      <c r="VT15" s="531"/>
      <c r="VU15" s="535">
        <f>VW15+'План и исполнение'!WE15+WA15+'План и исполнение'!WI15+WC15+'План и исполнение'!WK15</f>
        <v>-2300000</v>
      </c>
      <c r="VV15" s="535">
        <f>VX15+'План и исполнение'!WF15+WB15+'План и исполнение'!WJ15+WD15+'План и исполнение'!WL15</f>
        <v>-1200000</v>
      </c>
      <c r="VW15" s="549"/>
      <c r="VX15" s="549"/>
      <c r="VY15" s="549">
        <v>1220000</v>
      </c>
      <c r="VZ15" s="549">
        <v>200000</v>
      </c>
      <c r="WA15" s="546">
        <f t="shared" si="141"/>
        <v>1220000</v>
      </c>
      <c r="WB15" s="544">
        <f t="shared" si="142"/>
        <v>200000</v>
      </c>
      <c r="WC15" s="550"/>
      <c r="WD15" s="539"/>
      <c r="WE15" s="549">
        <v>0</v>
      </c>
      <c r="WF15" s="549"/>
      <c r="WG15" s="549">
        <f>-3400000-120000</f>
        <v>-3520000</v>
      </c>
      <c r="WH15" s="549">
        <v>-1400000</v>
      </c>
      <c r="WI15" s="546">
        <f t="shared" si="143"/>
        <v>-3520000</v>
      </c>
      <c r="WJ15" s="544">
        <f t="shared" si="144"/>
        <v>-1400000</v>
      </c>
      <c r="WK15" s="539"/>
      <c r="WL15" s="539"/>
      <c r="WM15" s="1547">
        <f>'План и исполнение'!WE15+'План и исполнение'!WG15</f>
        <v>-3520000</v>
      </c>
      <c r="WN15" s="1547">
        <f>'План и исполнение'!WF15+'План и исполнение'!WH15</f>
        <v>-1400000</v>
      </c>
      <c r="WO15" s="1154"/>
    </row>
    <row r="16" spans="1:613" s="340" customFormat="1" ht="25.5" customHeight="1" x14ac:dyDescent="0.3">
      <c r="A16" s="350" t="s">
        <v>83</v>
      </c>
      <c r="B16" s="542">
        <f>D16+AI16+'План и исполнение'!RA16+'План и исполнение'!SG16</f>
        <v>679586212.46000004</v>
      </c>
      <c r="C16" s="535">
        <f>E16+'План и исполнение'!RD16+AJ16+'План и исполнение'!SH16</f>
        <v>309030395.71999997</v>
      </c>
      <c r="D16" s="540">
        <f t="shared" si="0"/>
        <v>118844290</v>
      </c>
      <c r="E16" s="542">
        <f t="shared" si="1"/>
        <v>62409352</v>
      </c>
      <c r="F16" s="603">
        <f>'[1]Дотация  из  ОБ_факт'!M12</f>
        <v>51790000</v>
      </c>
      <c r="G16" s="1551">
        <v>28320002</v>
      </c>
      <c r="H16" s="1556">
        <f>'[1]Дотация  из  ОБ_факт'!G12</f>
        <v>24949000</v>
      </c>
      <c r="I16" s="1551">
        <v>12474500</v>
      </c>
      <c r="J16" s="604">
        <f t="shared" si="2"/>
        <v>24949000</v>
      </c>
      <c r="K16" s="611">
        <f t="shared" si="3"/>
        <v>12474500</v>
      </c>
      <c r="L16" s="891">
        <f>'[1]Дотация  из  ОБ_факт'!K12</f>
        <v>0</v>
      </c>
      <c r="M16" s="782"/>
      <c r="N16" s="603">
        <f>'[1]Дотация  из  ОБ_факт'!Q12</f>
        <v>1620000</v>
      </c>
      <c r="O16" s="1054">
        <v>0</v>
      </c>
      <c r="P16" s="603">
        <f>'[1]Дотация  из  ОБ_факт'!S12</f>
        <v>39134700</v>
      </c>
      <c r="Q16" s="1048">
        <v>21147350</v>
      </c>
      <c r="R16" s="611">
        <f t="shared" si="4"/>
        <v>39134700</v>
      </c>
      <c r="S16" s="605">
        <f t="shared" si="5"/>
        <v>21147350</v>
      </c>
      <c r="T16" s="891">
        <f>'[1]Дотация  из  ОБ_факт'!W12</f>
        <v>0</v>
      </c>
      <c r="U16" s="643"/>
      <c r="V16" s="603">
        <f>'[1]Дотация  из  ОБ_факт'!AA12+'[1]Дотация  из  ОБ_факт'!AC12+'[1]Дотация  из  ОБ_факт'!AG12</f>
        <v>883090</v>
      </c>
      <c r="W16" s="465">
        <f t="shared" si="6"/>
        <v>0</v>
      </c>
      <c r="X16" s="607"/>
      <c r="Y16" s="606"/>
      <c r="Z16" s="607"/>
      <c r="AA16" s="603">
        <f>'[1]Дотация  из  ОБ_факт'!Y12+'[1]Дотация  из  ОБ_факт'!AE12</f>
        <v>467500</v>
      </c>
      <c r="AB16" s="170">
        <f t="shared" si="7"/>
        <v>467500</v>
      </c>
      <c r="AC16" s="606">
        <v>467500</v>
      </c>
      <c r="AD16" s="607"/>
      <c r="AE16" s="604">
        <f t="shared" si="8"/>
        <v>467500</v>
      </c>
      <c r="AF16" s="611">
        <f t="shared" si="9"/>
        <v>467500</v>
      </c>
      <c r="AG16" s="604">
        <f>'[1]Дотация  из  ОБ_факт'!AE12</f>
        <v>0</v>
      </c>
      <c r="AH16" s="772"/>
      <c r="AI16" s="599">
        <f>'План и исполнение'!LQ16+'План и исполнение'!QS16+'План и исполнение'!QU16+CQ16+CS16+CY16+DA16+BS16+CA16+'План и исполнение'!JQ16+'План и исполнение'!KA16+'План и исполнение'!EC16+'План и исполнение'!LE16+DM16+'План и исполнение'!IM16+'План и исполнение'!IS16+'План и исполнение'!MM16+'План и исполнение'!MU16+IG16+'План и исполнение'!MA16+FK16+EY16+PO16+ES16+AK16+AU16+FE16+JK16+GG16+GQ16+DG16+PU16+FQ16+EI16+QA16+NY16+GA16+CM16+HU16+IA16+NS16</f>
        <v>217839242.45999998</v>
      </c>
      <c r="AJ16" s="504">
        <f>'План и исполнение'!LV16+'План и исполнение'!QT16+'План и исполнение'!QV16+CR16+CT16+CZ16+DB16+BW16+CE16+'План и исполнение'!JV16+'План и исполнение'!KF16+'План и исполнение'!EF16+'План и исполнение'!LK16+DU16+'План и исполнение'!IP16+'План и исполнение'!IV16+'План и исполнение'!MQ16+'План и исполнение'!MY16+IJ16+'План и исполнение'!ME16+FH16+FN16+FB16+PR16+EV16+AP16+AY16+JN16+GL16+GV16+DJ16+PX16+FT16+EN16+QD16+OF16+GD16+CO16+HX16+ID16+NV16</f>
        <v>32725608.839999996</v>
      </c>
      <c r="AK16" s="504">
        <f t="shared" si="10"/>
        <v>0</v>
      </c>
      <c r="AL16" s="343">
        <f>[1]Субсидия_факт!DB14</f>
        <v>0</v>
      </c>
      <c r="AM16" s="516">
        <f>[1]Субсидия_факт!FF14</f>
        <v>0</v>
      </c>
      <c r="AN16" s="514">
        <f>[1]Субсидия_факт!FR14</f>
        <v>0</v>
      </c>
      <c r="AO16" s="516">
        <f>[1]Субсидия_факт!MZ14</f>
        <v>0</v>
      </c>
      <c r="AP16" s="504">
        <f t="shared" si="11"/>
        <v>0</v>
      </c>
      <c r="AQ16" s="479"/>
      <c r="AR16" s="479"/>
      <c r="AS16" s="479"/>
      <c r="AT16" s="479"/>
      <c r="AU16" s="504">
        <f t="shared" si="12"/>
        <v>0</v>
      </c>
      <c r="AV16" s="469">
        <f>[1]Субсидия_факт!DD14</f>
        <v>0</v>
      </c>
      <c r="AW16" s="343">
        <f>[1]Субсидия_факт!FJ14</f>
        <v>0</v>
      </c>
      <c r="AX16" s="514">
        <f>[1]Субсидия_факт!NB14</f>
        <v>0</v>
      </c>
      <c r="AY16" s="504">
        <f t="shared" si="13"/>
        <v>0</v>
      </c>
      <c r="AZ16" s="547"/>
      <c r="BA16" s="547"/>
      <c r="BB16" s="548"/>
      <c r="BC16" s="697">
        <f t="shared" si="14"/>
        <v>0</v>
      </c>
      <c r="BD16" s="680">
        <f t="shared" si="15"/>
        <v>0</v>
      </c>
      <c r="BE16" s="469">
        <f t="shared" si="16"/>
        <v>0</v>
      </c>
      <c r="BF16" s="343">
        <f t="shared" si="17"/>
        <v>0</v>
      </c>
      <c r="BG16" s="697">
        <f t="shared" si="18"/>
        <v>0</v>
      </c>
      <c r="BH16" s="647">
        <f t="shared" si="19"/>
        <v>0</v>
      </c>
      <c r="BI16" s="514">
        <f t="shared" si="20"/>
        <v>0</v>
      </c>
      <c r="BJ16" s="343">
        <f t="shared" si="21"/>
        <v>0</v>
      </c>
      <c r="BK16" s="697">
        <f t="shared" si="22"/>
        <v>0</v>
      </c>
      <c r="BL16" s="469">
        <f>[1]Субсидия_факт!DF14</f>
        <v>0</v>
      </c>
      <c r="BM16" s="343">
        <f>[1]Субсидия_факт!FL14</f>
        <v>0</v>
      </c>
      <c r="BN16" s="469">
        <f>[1]Субсидия_факт!ND14</f>
        <v>0</v>
      </c>
      <c r="BO16" s="697">
        <f t="shared" si="23"/>
        <v>0</v>
      </c>
      <c r="BP16" s="548"/>
      <c r="BQ16" s="547"/>
      <c r="BR16" s="548"/>
      <c r="BS16" s="535">
        <f t="shared" si="145"/>
        <v>27370121</v>
      </c>
      <c r="BT16" s="449">
        <f>[1]Субсидия_факт!IL14</f>
        <v>5502901</v>
      </c>
      <c r="BU16" s="343">
        <f>[1]Субсидия_факт!IR14</f>
        <v>21867220</v>
      </c>
      <c r="BV16" s="529">
        <f>[1]Субсидия_факт!JD14</f>
        <v>0</v>
      </c>
      <c r="BW16" s="535">
        <f t="shared" si="146"/>
        <v>0</v>
      </c>
      <c r="BX16" s="547"/>
      <c r="BY16" s="547"/>
      <c r="BZ16" s="650"/>
      <c r="CA16" s="535">
        <f t="shared" si="147"/>
        <v>0</v>
      </c>
      <c r="CB16" s="469">
        <f>[1]Субсидия_факт!IN14</f>
        <v>0</v>
      </c>
      <c r="CC16" s="343">
        <f>[1]Субсидия_факт!IT14</f>
        <v>0</v>
      </c>
      <c r="CD16" s="529">
        <f>[1]Субсидия_факт!JF14</f>
        <v>0</v>
      </c>
      <c r="CE16" s="535">
        <f t="shared" si="148"/>
        <v>0</v>
      </c>
      <c r="CF16" s="547"/>
      <c r="CG16" s="548"/>
      <c r="CH16" s="760"/>
      <c r="CI16" s="546">
        <f t="shared" si="24"/>
        <v>0</v>
      </c>
      <c r="CJ16" s="544">
        <f t="shared" si="25"/>
        <v>0</v>
      </c>
      <c r="CK16" s="543">
        <f t="shared" si="149"/>
        <v>0</v>
      </c>
      <c r="CL16" s="546">
        <f t="shared" si="150"/>
        <v>0</v>
      </c>
      <c r="CM16" s="965">
        <f t="shared" si="151"/>
        <v>0</v>
      </c>
      <c r="CN16" s="721">
        <f>[1]Субсидия_факт!FT14</f>
        <v>0</v>
      </c>
      <c r="CO16" s="965">
        <f t="shared" si="151"/>
        <v>0</v>
      </c>
      <c r="CP16" s="721"/>
      <c r="CQ16" s="534">
        <f>[1]Субсидия_факт!FV14</f>
        <v>0</v>
      </c>
      <c r="CR16" s="644"/>
      <c r="CS16" s="535">
        <f>[1]Субсидия_факт!FX14</f>
        <v>0</v>
      </c>
      <c r="CT16" s="644"/>
      <c r="CU16" s="544">
        <f t="shared" si="26"/>
        <v>0</v>
      </c>
      <c r="CV16" s="543">
        <f t="shared" si="27"/>
        <v>0</v>
      </c>
      <c r="CW16" s="610">
        <f>[1]Субсидия_факт!FZ14</f>
        <v>0</v>
      </c>
      <c r="CX16" s="643"/>
      <c r="CY16" s="542">
        <f>[1]Субсидия_факт!GB14</f>
        <v>0</v>
      </c>
      <c r="CZ16" s="341"/>
      <c r="DA16" s="534">
        <f>[1]Субсидия_факт!GD14</f>
        <v>0</v>
      </c>
      <c r="DB16" s="644"/>
      <c r="DC16" s="544">
        <f t="shared" si="28"/>
        <v>0</v>
      </c>
      <c r="DD16" s="544">
        <f t="shared" si="29"/>
        <v>0</v>
      </c>
      <c r="DE16" s="691">
        <f>[1]Субсидия_факт!GF14</f>
        <v>0</v>
      </c>
      <c r="DF16" s="342"/>
      <c r="DG16" s="504">
        <f t="shared" si="30"/>
        <v>0</v>
      </c>
      <c r="DH16" s="529">
        <f>[1]Субсидия_факт!EV14</f>
        <v>0</v>
      </c>
      <c r="DI16" s="896">
        <f>[1]Субсидия_факт!EX14</f>
        <v>0</v>
      </c>
      <c r="DJ16" s="471">
        <f t="shared" si="31"/>
        <v>0</v>
      </c>
      <c r="DK16" s="809"/>
      <c r="DL16" s="1083"/>
      <c r="DM16" s="542">
        <f t="shared" si="32"/>
        <v>505000</v>
      </c>
      <c r="DN16" s="541">
        <f>[1]Субсидия_факт!R14</f>
        <v>0</v>
      </c>
      <c r="DO16" s="1210">
        <f>[1]Субсидия_факт!T14</f>
        <v>0</v>
      </c>
      <c r="DP16" s="713">
        <f>[1]Субсидия_факт!V14</f>
        <v>0</v>
      </c>
      <c r="DQ16" s="673">
        <f>[1]Субсидия_факт!X14</f>
        <v>141400</v>
      </c>
      <c r="DR16" s="814">
        <f>[1]Субсидия_факт!Z14</f>
        <v>363600</v>
      </c>
      <c r="DS16" s="516">
        <f>[1]Субсидия_факт!AB14</f>
        <v>0</v>
      </c>
      <c r="DT16" s="673">
        <f>[1]Субсидия_факт!AD14</f>
        <v>0</v>
      </c>
      <c r="DU16" s="535">
        <f t="shared" si="33"/>
        <v>0</v>
      </c>
      <c r="DV16" s="548"/>
      <c r="DW16" s="547"/>
      <c r="DX16" s="717"/>
      <c r="DY16" s="547"/>
      <c r="DZ16" s="717"/>
      <c r="EA16" s="548"/>
      <c r="EB16" s="1210">
        <f t="shared" si="214"/>
        <v>0</v>
      </c>
      <c r="EC16" s="504">
        <f t="shared" si="34"/>
        <v>0</v>
      </c>
      <c r="ED16" s="529">
        <f>[1]Субсидия_факт!BN14</f>
        <v>0</v>
      </c>
      <c r="EE16" s="896">
        <f>[1]Субсидия_факт!BP14</f>
        <v>0</v>
      </c>
      <c r="EF16" s="471">
        <f t="shared" si="35"/>
        <v>0</v>
      </c>
      <c r="EG16" s="809"/>
      <c r="EH16" s="1083"/>
      <c r="EI16" s="542">
        <f t="shared" si="152"/>
        <v>0</v>
      </c>
      <c r="EJ16" s="469">
        <f>[1]Субсидия_факт!AJ14</f>
        <v>0</v>
      </c>
      <c r="EK16" s="721">
        <f>[1]Субсидия_факт!AL14</f>
        <v>0</v>
      </c>
      <c r="EL16" s="449">
        <f>[1]Субсидия_факт!AN14</f>
        <v>0</v>
      </c>
      <c r="EM16" s="721">
        <f>[1]Субсидия_факт!AP14</f>
        <v>0</v>
      </c>
      <c r="EN16" s="535">
        <f t="shared" si="153"/>
        <v>0</v>
      </c>
      <c r="EO16" s="479"/>
      <c r="EP16" s="717"/>
      <c r="EQ16" s="479"/>
      <c r="ER16" s="717"/>
      <c r="ES16" s="504">
        <f t="shared" si="36"/>
        <v>0</v>
      </c>
      <c r="ET16" s="529">
        <f>[1]Субсидия_факт!AX14</f>
        <v>0</v>
      </c>
      <c r="EU16" s="789">
        <f>[1]Субсидия_факт!AZ14</f>
        <v>0</v>
      </c>
      <c r="EV16" s="471">
        <f t="shared" si="37"/>
        <v>0</v>
      </c>
      <c r="EW16" s="809"/>
      <c r="EX16" s="708"/>
      <c r="EY16" s="504">
        <f t="shared" si="38"/>
        <v>0</v>
      </c>
      <c r="EZ16" s="529">
        <f>[1]Субсидия_факт!BZ14</f>
        <v>0</v>
      </c>
      <c r="FA16" s="896">
        <f>[1]Субсидия_факт!CB14</f>
        <v>0</v>
      </c>
      <c r="FB16" s="471">
        <f t="shared" si="39"/>
        <v>0</v>
      </c>
      <c r="FC16" s="809"/>
      <c r="FD16" s="708"/>
      <c r="FE16" s="504">
        <f t="shared" si="40"/>
        <v>0</v>
      </c>
      <c r="FF16" s="529">
        <f>[1]Субсидия_факт!BR14</f>
        <v>0</v>
      </c>
      <c r="FG16" s="896">
        <f>[1]Субсидия_факт!BT14</f>
        <v>0</v>
      </c>
      <c r="FH16" s="471">
        <f t="shared" si="41"/>
        <v>0</v>
      </c>
      <c r="FI16" s="809"/>
      <c r="FJ16" s="708"/>
      <c r="FK16" s="504">
        <f t="shared" si="42"/>
        <v>0</v>
      </c>
      <c r="FL16" s="529">
        <f>[1]Субсидия_факт!KJ14</f>
        <v>0</v>
      </c>
      <c r="FM16" s="896">
        <f>[1]Субсидия_факт!KL14</f>
        <v>0</v>
      </c>
      <c r="FN16" s="471">
        <f t="shared" si="43"/>
        <v>0</v>
      </c>
      <c r="FO16" s="809"/>
      <c r="FP16" s="708"/>
      <c r="FQ16" s="504">
        <f t="shared" si="44"/>
        <v>0</v>
      </c>
      <c r="FR16" s="529">
        <f>[1]Субсидия_факт!KN14</f>
        <v>0</v>
      </c>
      <c r="FS16" s="896">
        <f>[1]Субсидия_факт!KR14</f>
        <v>0</v>
      </c>
      <c r="FT16" s="471">
        <f t="shared" si="45"/>
        <v>0</v>
      </c>
      <c r="FU16" s="809"/>
      <c r="FV16" s="708"/>
      <c r="FW16" s="695">
        <f t="shared" si="154"/>
        <v>0</v>
      </c>
      <c r="FX16" s="697">
        <f t="shared" si="155"/>
        <v>0</v>
      </c>
      <c r="FY16" s="695">
        <f t="shared" si="156"/>
        <v>0</v>
      </c>
      <c r="FZ16" s="697">
        <f t="shared" si="157"/>
        <v>0</v>
      </c>
      <c r="GA16" s="504">
        <f t="shared" si="158"/>
        <v>0</v>
      </c>
      <c r="GB16" s="1374">
        <f>[1]Субсидия_факт!BJ14</f>
        <v>0</v>
      </c>
      <c r="GC16" s="706">
        <f>[1]Субсидия_факт!BL14</f>
        <v>0</v>
      </c>
      <c r="GD16" s="504">
        <f t="shared" si="159"/>
        <v>0</v>
      </c>
      <c r="GE16" s="760"/>
      <c r="GF16" s="708"/>
      <c r="GG16" s="504">
        <f t="shared" si="46"/>
        <v>0</v>
      </c>
      <c r="GH16" s="760"/>
      <c r="GI16" s="708"/>
      <c r="GJ16" s="529"/>
      <c r="GK16" s="896"/>
      <c r="GL16" s="471">
        <f t="shared" si="47"/>
        <v>0</v>
      </c>
      <c r="GM16" s="760"/>
      <c r="GN16" s="708"/>
      <c r="GO16" s="760"/>
      <c r="GP16" s="708"/>
      <c r="GQ16" s="471">
        <f t="shared" si="160"/>
        <v>555206.61</v>
      </c>
      <c r="GR16" s="1374">
        <f>[1]Субсидия_факт!GJ14</f>
        <v>0</v>
      </c>
      <c r="GS16" s="706">
        <f>[1]Субсидия_факт!GN14</f>
        <v>0</v>
      </c>
      <c r="GT16" s="529">
        <f>[1]Субсидия_факт!GX14</f>
        <v>325861.44</v>
      </c>
      <c r="GU16" s="896">
        <f>[1]Субсидия_факт!HB14</f>
        <v>229345.17</v>
      </c>
      <c r="GV16" s="471">
        <f t="shared" si="161"/>
        <v>0</v>
      </c>
      <c r="GW16" s="760"/>
      <c r="GX16" s="708"/>
      <c r="GY16" s="760"/>
      <c r="GZ16" s="708"/>
      <c r="HA16" s="695">
        <f t="shared" si="162"/>
        <v>555206.61</v>
      </c>
      <c r="HB16" s="1374">
        <f t="shared" si="48"/>
        <v>0</v>
      </c>
      <c r="HC16" s="1375">
        <f t="shared" si="49"/>
        <v>0</v>
      </c>
      <c r="HD16" s="529">
        <f t="shared" si="50"/>
        <v>325861.44</v>
      </c>
      <c r="HE16" s="896">
        <f t="shared" si="51"/>
        <v>229345.17</v>
      </c>
      <c r="HF16" s="695">
        <f t="shared" si="163"/>
        <v>0</v>
      </c>
      <c r="HG16" s="1374">
        <f t="shared" si="52"/>
        <v>0</v>
      </c>
      <c r="HH16" s="1375">
        <f t="shared" si="53"/>
        <v>0</v>
      </c>
      <c r="HI16" s="529">
        <f t="shared" si="54"/>
        <v>0</v>
      </c>
      <c r="HJ16" s="896">
        <f t="shared" si="55"/>
        <v>0</v>
      </c>
      <c r="HK16" s="695">
        <f t="shared" si="164"/>
        <v>0</v>
      </c>
      <c r="HL16" s="1374">
        <f>[1]Субсидия_факт!GL14</f>
        <v>0</v>
      </c>
      <c r="HM16" s="706">
        <f>[1]Субсидия_факт!GP14</f>
        <v>0</v>
      </c>
      <c r="HN16" s="529">
        <f>[1]Субсидия_факт!GZ14</f>
        <v>0</v>
      </c>
      <c r="HO16" s="896">
        <f>[1]Субсидия_факт!HD14</f>
        <v>0</v>
      </c>
      <c r="HP16" s="695">
        <f t="shared" si="165"/>
        <v>0</v>
      </c>
      <c r="HQ16" s="760"/>
      <c r="HR16" s="708"/>
      <c r="HS16" s="760"/>
      <c r="HT16" s="708"/>
      <c r="HU16" s="542">
        <f t="shared" si="56"/>
        <v>0</v>
      </c>
      <c r="HV16" s="531">
        <f>[1]Субсидия_факт!N14</f>
        <v>0</v>
      </c>
      <c r="HW16" s="789">
        <f>[1]Субсидия_факт!P14</f>
        <v>0</v>
      </c>
      <c r="HX16" s="535">
        <f t="shared" si="57"/>
        <v>0</v>
      </c>
      <c r="HY16" s="547"/>
      <c r="HZ16" s="739"/>
      <c r="IA16" s="542">
        <f t="shared" si="58"/>
        <v>0</v>
      </c>
      <c r="IB16" s="541">
        <f>[1]Субсидия_факт!DZ14</f>
        <v>0</v>
      </c>
      <c r="IC16" s="721">
        <f>[1]Субсидия_факт!EB14</f>
        <v>0</v>
      </c>
      <c r="ID16" s="534">
        <f t="shared" si="59"/>
        <v>0</v>
      </c>
      <c r="IE16" s="547"/>
      <c r="IF16" s="739"/>
      <c r="IG16" s="542">
        <f t="shared" si="166"/>
        <v>0</v>
      </c>
      <c r="IH16" s="531">
        <f>[1]Субсидия_факт!EP14</f>
        <v>0</v>
      </c>
      <c r="II16" s="789">
        <f>[1]Субсидия_факт!ER14</f>
        <v>0</v>
      </c>
      <c r="IJ16" s="535">
        <f t="shared" si="167"/>
        <v>0</v>
      </c>
      <c r="IK16" s="547"/>
      <c r="IL16" s="739"/>
      <c r="IM16" s="599">
        <f t="shared" si="62"/>
        <v>199895.6</v>
      </c>
      <c r="IN16" s="529">
        <f>[1]Субсидия_факт!ED14</f>
        <v>55971.040000000001</v>
      </c>
      <c r="IO16" s="896">
        <f>[1]Субсидия_факт!EJ14</f>
        <v>143924.56</v>
      </c>
      <c r="IP16" s="471">
        <f t="shared" si="63"/>
        <v>199895.6</v>
      </c>
      <c r="IQ16" s="1374">
        <f>IN16</f>
        <v>55971.040000000001</v>
      </c>
      <c r="IR16" s="706">
        <f>IO16</f>
        <v>143924.56</v>
      </c>
      <c r="IS16" s="471">
        <f t="shared" si="64"/>
        <v>994901.26</v>
      </c>
      <c r="IT16" s="529">
        <f>[1]Субсидия_факт!EF14</f>
        <v>278573.72000000003</v>
      </c>
      <c r="IU16" s="789">
        <f>[1]Субсидия_факт!EL14</f>
        <v>716327.54</v>
      </c>
      <c r="IV16" s="471">
        <f t="shared" si="65"/>
        <v>867598.73</v>
      </c>
      <c r="IW16" s="650">
        <v>242928.84</v>
      </c>
      <c r="IX16" s="742">
        <v>624669.89</v>
      </c>
      <c r="IY16" s="697">
        <f t="shared" si="66"/>
        <v>994901.26</v>
      </c>
      <c r="IZ16" s="787">
        <f>'План и исполнение'!IT16-'План и исполнение'!JF16</f>
        <v>278573.72000000003</v>
      </c>
      <c r="JA16" s="706">
        <f>'План и исполнение'!IU16-'План и исполнение'!JG16</f>
        <v>716327.54</v>
      </c>
      <c r="JB16" s="691">
        <f t="shared" si="67"/>
        <v>867598.73</v>
      </c>
      <c r="JC16" s="793">
        <f>'План и исполнение'!IW16-'План и исполнение'!JI16</f>
        <v>242928.84</v>
      </c>
      <c r="JD16" s="804">
        <f>'План и исполнение'!IX16-'План и исполнение'!JJ16</f>
        <v>624669.89</v>
      </c>
      <c r="JE16" s="697">
        <f t="shared" si="68"/>
        <v>0</v>
      </c>
      <c r="JF16" s="529">
        <f>[1]Субсидия_факт!EH14</f>
        <v>0</v>
      </c>
      <c r="JG16" s="896">
        <f>[1]Субсидия_факт!EN14</f>
        <v>0</v>
      </c>
      <c r="JH16" s="697">
        <f t="shared" si="69"/>
        <v>0</v>
      </c>
      <c r="JI16" s="529"/>
      <c r="JJ16" s="789"/>
      <c r="JK16" s="471">
        <f t="shared" si="70"/>
        <v>0</v>
      </c>
      <c r="JL16" s="793">
        <f>[1]Субсидия_факт!AR14</f>
        <v>0</v>
      </c>
      <c r="JM16" s="706">
        <f>[1]Субсидия_факт!AT14</f>
        <v>0</v>
      </c>
      <c r="JN16" s="471">
        <f t="shared" si="71"/>
        <v>0</v>
      </c>
      <c r="JO16" s="650"/>
      <c r="JP16" s="708"/>
      <c r="JQ16" s="785">
        <f t="shared" si="72"/>
        <v>0</v>
      </c>
      <c r="JR16" s="793">
        <f>[1]Субсидия_факт!CJ14</f>
        <v>0</v>
      </c>
      <c r="JS16" s="706">
        <f>[1]Субсидия_факт!CP14</f>
        <v>0</v>
      </c>
      <c r="JT16" s="529">
        <f>[1]Субсидия_факт!DN14</f>
        <v>0</v>
      </c>
      <c r="JU16" s="896">
        <f>[1]Субсидия_факт!DT14</f>
        <v>0</v>
      </c>
      <c r="JV16" s="471">
        <f t="shared" si="73"/>
        <v>0</v>
      </c>
      <c r="JW16" s="650"/>
      <c r="JX16" s="708"/>
      <c r="JY16" s="650"/>
      <c r="JZ16" s="892"/>
      <c r="KA16" s="785">
        <f t="shared" si="74"/>
        <v>0</v>
      </c>
      <c r="KB16" s="793">
        <f>[1]Субсидия_факт!CL14</f>
        <v>0</v>
      </c>
      <c r="KC16" s="706">
        <f>[1]Субсидия_факт!CR14</f>
        <v>0</v>
      </c>
      <c r="KD16" s="529">
        <f>[1]Субсидия_факт!DP14</f>
        <v>0</v>
      </c>
      <c r="KE16" s="896">
        <f>[1]Субсидия_факт!DV14</f>
        <v>0</v>
      </c>
      <c r="KF16" s="471">
        <f t="shared" si="75"/>
        <v>0</v>
      </c>
      <c r="KG16" s="650"/>
      <c r="KH16" s="708"/>
      <c r="KI16" s="809"/>
      <c r="KJ16" s="708"/>
      <c r="KK16" s="788">
        <f t="shared" si="76"/>
        <v>0</v>
      </c>
      <c r="KL16" s="793">
        <f>'План и исполнение'!KB16-KV16</f>
        <v>0</v>
      </c>
      <c r="KM16" s="706">
        <f>'План и исполнение'!KC16-KW16</f>
        <v>0</v>
      </c>
      <c r="KN16" s="787">
        <f>'План и исполнение'!KD16-KX16</f>
        <v>0</v>
      </c>
      <c r="KO16" s="706">
        <f>'План и исполнение'!KE16-KY16</f>
        <v>0</v>
      </c>
      <c r="KP16" s="788">
        <f t="shared" si="77"/>
        <v>0</v>
      </c>
      <c r="KQ16" s="793">
        <f>'План и исполнение'!KG16-LA16</f>
        <v>0</v>
      </c>
      <c r="KR16" s="830">
        <f>'План и исполнение'!KH16-LB16</f>
        <v>0</v>
      </c>
      <c r="KS16" s="793">
        <f>'План и исполнение'!KI16-LC16</f>
        <v>0</v>
      </c>
      <c r="KT16" s="804">
        <f>'План и исполнение'!KJ16-LD16</f>
        <v>0</v>
      </c>
      <c r="KU16" s="697">
        <f t="shared" si="78"/>
        <v>0</v>
      </c>
      <c r="KV16" s="793">
        <f>[1]Субсидия_факт!CN14</f>
        <v>0</v>
      </c>
      <c r="KW16" s="706">
        <f>[1]Субсидия_факт!CT14</f>
        <v>0</v>
      </c>
      <c r="KX16" s="529">
        <f>[1]Субсидия_факт!DR14</f>
        <v>0</v>
      </c>
      <c r="KY16" s="896">
        <f>[1]Субсидия_факт!DX14</f>
        <v>0</v>
      </c>
      <c r="KZ16" s="697">
        <f t="shared" si="79"/>
        <v>0</v>
      </c>
      <c r="LA16" s="650"/>
      <c r="LB16" s="708"/>
      <c r="LC16" s="531"/>
      <c r="LD16" s="1639"/>
      <c r="LE16" s="504">
        <f t="shared" si="168"/>
        <v>0</v>
      </c>
      <c r="LF16" s="529">
        <f>[1]Субсидия_факт!CD14</f>
        <v>0</v>
      </c>
      <c r="LG16" s="789">
        <f>[1]Субсидия_факт!CF14</f>
        <v>0</v>
      </c>
      <c r="LH16" s="529">
        <f>[1]Субсидия_факт!BV14</f>
        <v>0</v>
      </c>
      <c r="LI16" s="789">
        <f>[1]Субсидия_факт!BX14</f>
        <v>0</v>
      </c>
      <c r="LJ16" s="529">
        <f>[1]Субсидия_факт!CH14</f>
        <v>0</v>
      </c>
      <c r="LK16" s="471">
        <f t="shared" si="169"/>
        <v>0</v>
      </c>
      <c r="LL16" s="650"/>
      <c r="LM16" s="708"/>
      <c r="LN16" s="650"/>
      <c r="LO16" s="708"/>
      <c r="LP16" s="650"/>
      <c r="LQ16" s="504">
        <f t="shared" si="80"/>
        <v>0</v>
      </c>
      <c r="LR16" s="516">
        <f>[1]Субсидия_факт!HN14</f>
        <v>0</v>
      </c>
      <c r="LS16" s="529">
        <f>[1]Субсидия_факт!HL14</f>
        <v>0</v>
      </c>
      <c r="LT16" s="541">
        <f>[1]Субсидия_факт!HV14</f>
        <v>0</v>
      </c>
      <c r="LU16" s="721">
        <f>[1]Субсидия_факт!HX14</f>
        <v>0</v>
      </c>
      <c r="LV16" s="471">
        <f t="shared" si="81"/>
        <v>0</v>
      </c>
      <c r="LW16" s="344"/>
      <c r="LX16" s="650"/>
      <c r="LY16" s="479"/>
      <c r="LZ16" s="717"/>
      <c r="MA16" s="471">
        <f t="shared" si="82"/>
        <v>0</v>
      </c>
      <c r="MB16" s="531">
        <f>[1]Субсидия_факт!HT14</f>
        <v>0</v>
      </c>
      <c r="MC16" s="531">
        <f>[1]Субсидия_факт!HP14</f>
        <v>0</v>
      </c>
      <c r="MD16" s="789">
        <f>[1]Субсидия_факт!HR14</f>
        <v>0</v>
      </c>
      <c r="ME16" s="471">
        <f t="shared" si="83"/>
        <v>0</v>
      </c>
      <c r="MF16" s="793">
        <f t="shared" si="170"/>
        <v>0</v>
      </c>
      <c r="MG16" s="650"/>
      <c r="MH16" s="708"/>
      <c r="MI16" s="893">
        <f t="shared" si="84"/>
        <v>0</v>
      </c>
      <c r="MJ16" s="893">
        <f t="shared" si="85"/>
        <v>0</v>
      </c>
      <c r="MK16" s="695">
        <f t="shared" si="86"/>
        <v>0</v>
      </c>
      <c r="ML16" s="1028">
        <f t="shared" si="87"/>
        <v>0</v>
      </c>
      <c r="MM16" s="791">
        <f t="shared" si="216"/>
        <v>0</v>
      </c>
      <c r="MN16" s="529">
        <f>[1]Субсидия_факт!LH14</f>
        <v>0</v>
      </c>
      <c r="MO16" s="896">
        <f>[1]Субсидия_факт!LN14</f>
        <v>0</v>
      </c>
      <c r="MP16" s="531"/>
      <c r="MQ16" s="791">
        <f t="shared" si="171"/>
        <v>0</v>
      </c>
      <c r="MR16" s="809"/>
      <c r="MS16" s="708"/>
      <c r="MT16" s="531"/>
      <c r="MU16" s="791">
        <f t="shared" si="172"/>
        <v>18948093</v>
      </c>
      <c r="MV16" s="529">
        <f>[1]Субсидия_факт!LJ14</f>
        <v>0</v>
      </c>
      <c r="MW16" s="896">
        <f>[1]Субсидия_факт!LP14</f>
        <v>0</v>
      </c>
      <c r="MX16" s="531">
        <f>[1]Субсидия_факт!LT14</f>
        <v>18948093</v>
      </c>
      <c r="MY16" s="791">
        <f t="shared" si="173"/>
        <v>18948093</v>
      </c>
      <c r="MZ16" s="650"/>
      <c r="NA16" s="808"/>
      <c r="NB16" s="531">
        <f t="shared" si="174"/>
        <v>18948093</v>
      </c>
      <c r="NC16" s="792">
        <f t="shared" si="175"/>
        <v>18948093</v>
      </c>
      <c r="ND16" s="680">
        <f>'План и исполнение'!MV16-NL16</f>
        <v>0</v>
      </c>
      <c r="NE16" s="713">
        <f>'План и исполнение'!MW16-NM16</f>
        <v>0</v>
      </c>
      <c r="NF16" s="647">
        <f>'План и исполнение'!MX16-NN16</f>
        <v>18948093</v>
      </c>
      <c r="NG16" s="792">
        <f t="shared" si="176"/>
        <v>18948093</v>
      </c>
      <c r="NH16" s="787">
        <f>'План и исполнение'!MZ16-NP16</f>
        <v>0</v>
      </c>
      <c r="NI16" s="706">
        <f>'План и исполнение'!NA16-NQ16</f>
        <v>0</v>
      </c>
      <c r="NJ16" s="793">
        <f>'План и исполнение'!NB16-NR16</f>
        <v>18948093</v>
      </c>
      <c r="NK16" s="792">
        <f t="shared" si="177"/>
        <v>0</v>
      </c>
      <c r="NL16" s="529">
        <f>[1]Субсидия_факт!LL14</f>
        <v>0</v>
      </c>
      <c r="NM16" s="896">
        <f>[1]Субсидия_факт!LR14</f>
        <v>0</v>
      </c>
      <c r="NN16" s="529">
        <f>[1]Субсидия_факт!LV14</f>
        <v>0</v>
      </c>
      <c r="NO16" s="792">
        <f t="shared" si="178"/>
        <v>0</v>
      </c>
      <c r="NP16" s="787">
        <f t="shared" si="179"/>
        <v>0</v>
      </c>
      <c r="NQ16" s="706">
        <f t="shared" si="180"/>
        <v>0</v>
      </c>
      <c r="NR16" s="529">
        <f t="shared" si="215"/>
        <v>0</v>
      </c>
      <c r="NS16" s="535">
        <f t="shared" si="181"/>
        <v>92230972.219999999</v>
      </c>
      <c r="NT16" s="1285">
        <f>[1]Субсидия_факт!NF14</f>
        <v>25824672.219999999</v>
      </c>
      <c r="NU16" s="713">
        <f>[1]Субсидия_факт!NH14</f>
        <v>66406300</v>
      </c>
      <c r="NV16" s="535">
        <f t="shared" si="182"/>
        <v>0</v>
      </c>
      <c r="NW16" s="344"/>
      <c r="NX16" s="739"/>
      <c r="NY16" s="535">
        <f t="shared" si="183"/>
        <v>39689701.049999997</v>
      </c>
      <c r="NZ16" s="1194">
        <f>[1]Субсидия_факт!LX14</f>
        <v>7794033.3300000001</v>
      </c>
      <c r="OA16" s="1295">
        <f>[1]Субсидия_факт!MB14</f>
        <v>20041800</v>
      </c>
      <c r="OB16" s="1194">
        <f>[1]Субсидия_факт!MF14</f>
        <v>3319082.96</v>
      </c>
      <c r="OC16" s="713">
        <f>[1]Субсидия_факт!MJ14</f>
        <v>8534784.7599999998</v>
      </c>
      <c r="OD16" s="1285">
        <f>[1]Субсидия_факт!NJ14</f>
        <v>0</v>
      </c>
      <c r="OE16" s="713">
        <f>[1]Субсидия_факт!NN14</f>
        <v>0</v>
      </c>
      <c r="OF16" s="535">
        <f t="shared" si="184"/>
        <v>0</v>
      </c>
      <c r="OG16" s="493"/>
      <c r="OH16" s="746"/>
      <c r="OI16" s="344"/>
      <c r="OJ16" s="739"/>
      <c r="OK16" s="493"/>
      <c r="OL16" s="746"/>
      <c r="OM16" s="610">
        <f t="shared" si="185"/>
        <v>39689701.049999997</v>
      </c>
      <c r="ON16" s="1194">
        <f t="shared" si="88"/>
        <v>7794033.3300000001</v>
      </c>
      <c r="OO16" s="713">
        <f t="shared" si="89"/>
        <v>20041800</v>
      </c>
      <c r="OP16" s="493">
        <f t="shared" si="90"/>
        <v>3319082.96</v>
      </c>
      <c r="OQ16" s="713">
        <f t="shared" si="91"/>
        <v>8534784.7599999998</v>
      </c>
      <c r="OR16" s="1285">
        <f t="shared" si="92"/>
        <v>0</v>
      </c>
      <c r="OS16" s="713">
        <f t="shared" si="93"/>
        <v>0</v>
      </c>
      <c r="OT16" s="610">
        <f t="shared" si="186"/>
        <v>0</v>
      </c>
      <c r="OU16" s="1194">
        <f t="shared" si="94"/>
        <v>0</v>
      </c>
      <c r="OV16" s="713">
        <f t="shared" si="95"/>
        <v>0</v>
      </c>
      <c r="OW16" s="493">
        <f t="shared" si="96"/>
        <v>0</v>
      </c>
      <c r="OX16" s="713">
        <f t="shared" si="97"/>
        <v>0</v>
      </c>
      <c r="OY16" s="1285">
        <f t="shared" si="98"/>
        <v>0</v>
      </c>
      <c r="OZ16" s="713">
        <f t="shared" si="99"/>
        <v>0</v>
      </c>
      <c r="PA16" s="610">
        <f t="shared" si="187"/>
        <v>0</v>
      </c>
      <c r="PB16" s="1194">
        <f>[1]Субсидия_факт!LZ14</f>
        <v>0</v>
      </c>
      <c r="PC16" s="1295">
        <f>[1]Субсидия_факт!MD14</f>
        <v>0</v>
      </c>
      <c r="PD16" s="1194">
        <f>[1]Субсидия_факт!MH14</f>
        <v>0</v>
      </c>
      <c r="PE16" s="713">
        <f>[1]Субсидия_факт!ML14</f>
        <v>0</v>
      </c>
      <c r="PF16" s="991">
        <f>[1]Субсидия_факт!NL14</f>
        <v>0</v>
      </c>
      <c r="PG16" s="801">
        <f>[1]Субсидия_факт!NP14</f>
        <v>0</v>
      </c>
      <c r="PH16" s="610">
        <f t="shared" si="188"/>
        <v>0</v>
      </c>
      <c r="PI16" s="991"/>
      <c r="PJ16" s="746"/>
      <c r="PK16" s="493"/>
      <c r="PL16" s="746"/>
      <c r="PM16" s="493"/>
      <c r="PN16" s="746"/>
      <c r="PO16" s="504">
        <f t="shared" si="100"/>
        <v>0</v>
      </c>
      <c r="PP16" s="529">
        <f>[1]Субсидия_факт!AF14</f>
        <v>0</v>
      </c>
      <c r="PQ16" s="896">
        <f>[1]Субсидия_факт!AH14</f>
        <v>0</v>
      </c>
      <c r="PR16" s="471">
        <f t="shared" si="101"/>
        <v>0</v>
      </c>
      <c r="PS16" s="809"/>
      <c r="PT16" s="708"/>
      <c r="PU16" s="535">
        <f t="shared" si="102"/>
        <v>0</v>
      </c>
      <c r="PV16" s="673">
        <f>[1]Субсидия_факт!MN14</f>
        <v>0</v>
      </c>
      <c r="PW16" s="814">
        <f>[1]Субсидия_факт!MP14</f>
        <v>0</v>
      </c>
      <c r="PX16" s="535">
        <f t="shared" si="103"/>
        <v>0</v>
      </c>
      <c r="PY16" s="1377"/>
      <c r="PZ16" s="717"/>
      <c r="QA16" s="535">
        <f t="shared" si="104"/>
        <v>0</v>
      </c>
      <c r="QB16" s="1194">
        <f>[1]Субсидия_факт!MR14</f>
        <v>0</v>
      </c>
      <c r="QC16" s="713">
        <f>[1]Субсидия_факт!MV14</f>
        <v>0</v>
      </c>
      <c r="QD16" s="535">
        <f t="shared" si="105"/>
        <v>0</v>
      </c>
      <c r="QE16" s="479"/>
      <c r="QF16" s="717"/>
      <c r="QG16" s="610">
        <f t="shared" si="106"/>
        <v>0</v>
      </c>
      <c r="QH16" s="1194">
        <f t="shared" si="107"/>
        <v>0</v>
      </c>
      <c r="QI16" s="713">
        <f t="shared" si="108"/>
        <v>0</v>
      </c>
      <c r="QJ16" s="610">
        <f t="shared" si="109"/>
        <v>0</v>
      </c>
      <c r="QK16" s="1194">
        <f t="shared" si="110"/>
        <v>0</v>
      </c>
      <c r="QL16" s="713">
        <f t="shared" si="111"/>
        <v>0</v>
      </c>
      <c r="QM16" s="610">
        <f t="shared" si="112"/>
        <v>0</v>
      </c>
      <c r="QN16" s="1210">
        <f>[1]Субсидия_факт!MT14</f>
        <v>0</v>
      </c>
      <c r="QO16" s="713">
        <f>[1]Субсидия_факт!MX14</f>
        <v>0</v>
      </c>
      <c r="QP16" s="610">
        <f t="shared" si="113"/>
        <v>0</v>
      </c>
      <c r="QQ16" s="479"/>
      <c r="QR16" s="717"/>
      <c r="QS16" s="535">
        <f>'Прочая  субсидия_МР  и  ГО'!B12</f>
        <v>30344871.43</v>
      </c>
      <c r="QT16" s="535">
        <f>'Прочая  субсидия_МР  и  ГО'!C12</f>
        <v>5726727.9299999988</v>
      </c>
      <c r="QU16" s="540">
        <f>'Прочая  субсидия_БП'!B12</f>
        <v>7000480.29</v>
      </c>
      <c r="QV16" s="542">
        <f>'Прочая  субсидия_БП'!C12</f>
        <v>6983293.5800000001</v>
      </c>
      <c r="QW16" s="605">
        <f>'Прочая  субсидия_БП'!D12</f>
        <v>7000480.29</v>
      </c>
      <c r="QX16" s="604">
        <f>'Прочая  субсидия_БП'!E12</f>
        <v>6983293.5800000001</v>
      </c>
      <c r="QY16" s="611">
        <f>'Прочая  субсидия_БП'!F12</f>
        <v>0</v>
      </c>
      <c r="QZ16" s="605">
        <f>'Прочая  субсидия_БП'!G12</f>
        <v>0</v>
      </c>
      <c r="RA16" s="542">
        <f t="shared" si="189"/>
        <v>342902680</v>
      </c>
      <c r="RB16" s="469">
        <f>'План и исполнение'!RZ16+'План и исполнение'!RG16+'План и исполнение'!RI16+'План и исполнение'!RK16</f>
        <v>339761180</v>
      </c>
      <c r="RC16" s="343">
        <f>'План и исполнение'!SB16+'План и исполнение'!RM16+'План и исполнение'!RS16+'План и исполнение'!RO16+'План и исполнение'!RQ16+RU16+RW16+SA16</f>
        <v>3141500</v>
      </c>
      <c r="RD16" s="534">
        <f t="shared" si="190"/>
        <v>213895434.88</v>
      </c>
      <c r="RE16" s="541">
        <f>'План и исполнение'!SD16+'План и исполнение'!RH16+'План и исполнение'!RJ16+'План и исполнение'!RL16</f>
        <v>212115335</v>
      </c>
      <c r="RF16" s="343">
        <f>'План и исполнение'!SF16+'План и исполнение'!RN16+'План и исполнение'!RT16+'План и исполнение'!RP16+'План и исполнение'!RR16+RV16+RX16+SE16</f>
        <v>1780099.88</v>
      </c>
      <c r="RG16" s="599">
        <f>'Субвенция  на  полномочия'!B12</f>
        <v>319604580</v>
      </c>
      <c r="RH16" s="471">
        <f>'Субвенция  на  полномочия'!C12</f>
        <v>203530335</v>
      </c>
      <c r="RI16" s="768">
        <f>[1]Субвенция_факт!P13*1000</f>
        <v>15397800</v>
      </c>
      <c r="RJ16" s="771">
        <v>6040000</v>
      </c>
      <c r="RK16" s="768">
        <f>[1]Субвенция_факт!K13*1000</f>
        <v>3857600</v>
      </c>
      <c r="RL16" s="771">
        <v>2000000</v>
      </c>
      <c r="RM16" s="768">
        <f>[1]Субвенция_факт!AF13*1000</f>
        <v>1637500</v>
      </c>
      <c r="RN16" s="771">
        <v>715107.14</v>
      </c>
      <c r="RO16" s="768">
        <f>[1]Субвенция_факт!AG13*1000</f>
        <v>4000</v>
      </c>
      <c r="RP16" s="771">
        <v>0</v>
      </c>
      <c r="RQ16" s="768">
        <f>[1]Субвенция_факт!E13*1000</f>
        <v>0</v>
      </c>
      <c r="RR16" s="771"/>
      <c r="RS16" s="768">
        <f>[1]Субвенция_факт!F13*1000</f>
        <v>0</v>
      </c>
      <c r="RT16" s="877"/>
      <c r="RU16" s="168">
        <f>[1]Субвенция_факт!G13*1000</f>
        <v>0</v>
      </c>
      <c r="RV16" s="1241"/>
      <c r="RW16" s="168">
        <f>[1]Субвенция_факт!H13*1000</f>
        <v>0</v>
      </c>
      <c r="RX16" s="878"/>
      <c r="RY16" s="504">
        <f t="shared" si="191"/>
        <v>2401200</v>
      </c>
      <c r="RZ16" s="887">
        <f>[1]Субвенция_факт!AE13*1000</f>
        <v>901200</v>
      </c>
      <c r="SA16" s="882">
        <f>[1]Субвенция_факт!AD13*1000</f>
        <v>0</v>
      </c>
      <c r="SB16" s="1158">
        <f>[1]Субвенция_факт!AC13*1000</f>
        <v>1500000</v>
      </c>
      <c r="SC16" s="535">
        <f t="shared" si="116"/>
        <v>1609992.74</v>
      </c>
      <c r="SD16" s="974">
        <v>545000</v>
      </c>
      <c r="SE16" s="1645"/>
      <c r="SF16" s="1652">
        <v>1064992.74</v>
      </c>
      <c r="SG16" s="279">
        <f>'План и исполнение'!VI16+'План и исполнение'!VA16+'План и исполнение'!TA16+'План и исполнение'!TE16+UO16+UU16+SO16+SS16+TM16+TQ16+UE16+SI16+TY16</f>
        <v>0</v>
      </c>
      <c r="SH16" s="168">
        <f>'План и исполнение'!VK16+'План и исполнение'!VE16+'План и исполнение'!TC16+'План и исполнение'!TG16+UR16+UX16+SQ16+SU16+TO16+TS16+UH16+SL16+UB16</f>
        <v>0</v>
      </c>
      <c r="SI16" s="540">
        <f t="shared" si="117"/>
        <v>0</v>
      </c>
      <c r="SJ16" s="887">
        <f>'[1]Иные межбюджетные трансферты'!E14</f>
        <v>0</v>
      </c>
      <c r="SK16" s="945">
        <f>'[1]Иные межбюджетные трансферты'!G14</f>
        <v>0</v>
      </c>
      <c r="SL16" s="535">
        <f t="shared" si="118"/>
        <v>0</v>
      </c>
      <c r="SM16" s="1323"/>
      <c r="SN16" s="1464"/>
      <c r="SO16" s="1335">
        <f t="shared" si="192"/>
        <v>0</v>
      </c>
      <c r="SP16" s="1115">
        <f>'[1]Иные межбюджетные трансферты'!W14</f>
        <v>0</v>
      </c>
      <c r="SQ16" s="1333">
        <f t="shared" si="193"/>
        <v>0</v>
      </c>
      <c r="SR16" s="1334"/>
      <c r="SS16" s="1336">
        <f t="shared" si="194"/>
        <v>0</v>
      </c>
      <c r="ST16" s="1115">
        <f>'[1]Иные межбюджетные трансферты'!Y14</f>
        <v>0</v>
      </c>
      <c r="SU16" s="1344">
        <f t="shared" si="195"/>
        <v>0</v>
      </c>
      <c r="SV16" s="1334"/>
      <c r="SW16" s="1336">
        <f t="shared" si="196"/>
        <v>0</v>
      </c>
      <c r="SX16" s="1344">
        <f t="shared" si="197"/>
        <v>0</v>
      </c>
      <c r="SY16" s="1355">
        <f t="shared" si="198"/>
        <v>0</v>
      </c>
      <c r="SZ16" s="1344">
        <f t="shared" si="199"/>
        <v>0</v>
      </c>
      <c r="TA16" s="1350">
        <f t="shared" si="119"/>
        <v>0</v>
      </c>
      <c r="TB16" s="1115">
        <f>'[1]Иные межбюджетные трансферты'!AC14</f>
        <v>0</v>
      </c>
      <c r="TC16" s="965">
        <f t="shared" si="120"/>
        <v>0</v>
      </c>
      <c r="TD16" s="945"/>
      <c r="TE16" s="971">
        <f t="shared" si="121"/>
        <v>0</v>
      </c>
      <c r="TF16" s="1115">
        <f>'[1]Иные межбюджетные трансферты'!AE14</f>
        <v>0</v>
      </c>
      <c r="TG16" s="965">
        <f t="shared" si="122"/>
        <v>0</v>
      </c>
      <c r="TH16" s="1214"/>
      <c r="TI16" s="968">
        <f t="shared" si="123"/>
        <v>0</v>
      </c>
      <c r="TJ16" s="962">
        <f t="shared" si="124"/>
        <v>0</v>
      </c>
      <c r="TK16" s="1219">
        <f t="shared" si="200"/>
        <v>0</v>
      </c>
      <c r="TL16" s="962">
        <f t="shared" si="201"/>
        <v>0</v>
      </c>
      <c r="TM16" s="971">
        <f t="shared" si="125"/>
        <v>0</v>
      </c>
      <c r="TN16" s="1115">
        <f>'[1]Иные межбюджетные трансферты'!AI14</f>
        <v>0</v>
      </c>
      <c r="TO16" s="965">
        <f t="shared" si="126"/>
        <v>0</v>
      </c>
      <c r="TP16" s="945"/>
      <c r="TQ16" s="971">
        <f t="shared" si="127"/>
        <v>0</v>
      </c>
      <c r="TR16" s="1115">
        <f>'[1]Иные межбюджетные трансферты'!AK14</f>
        <v>0</v>
      </c>
      <c r="TS16" s="965">
        <f t="shared" si="128"/>
        <v>0</v>
      </c>
      <c r="TT16" s="1214"/>
      <c r="TU16" s="968">
        <f t="shared" si="129"/>
        <v>0</v>
      </c>
      <c r="TV16" s="962">
        <f t="shared" si="130"/>
        <v>0</v>
      </c>
      <c r="TW16" s="1219">
        <f t="shared" si="202"/>
        <v>0</v>
      </c>
      <c r="TX16" s="968">
        <f t="shared" si="203"/>
        <v>0</v>
      </c>
      <c r="TY16" s="971">
        <f t="shared" si="204"/>
        <v>0</v>
      </c>
      <c r="TZ16" s="1210"/>
      <c r="UA16" s="713"/>
      <c r="UB16" s="971">
        <f t="shared" si="205"/>
        <v>0</v>
      </c>
      <c r="UC16" s="810"/>
      <c r="UD16" s="717"/>
      <c r="UE16" s="971">
        <f t="shared" si="206"/>
        <v>0</v>
      </c>
      <c r="UF16" s="1210">
        <f>'[1]Иные межбюджетные трансферты'!AS14</f>
        <v>0</v>
      </c>
      <c r="UG16" s="713">
        <f>'[1]Иные межбюджетные трансферты'!AW14</f>
        <v>0</v>
      </c>
      <c r="UH16" s="965">
        <f t="shared" si="207"/>
        <v>0</v>
      </c>
      <c r="UI16" s="1484"/>
      <c r="UJ16" s="804"/>
      <c r="UK16" s="865">
        <f t="shared" si="208"/>
        <v>0</v>
      </c>
      <c r="UL16" s="865">
        <f t="shared" si="209"/>
        <v>0</v>
      </c>
      <c r="UM16" s="865">
        <f t="shared" si="210"/>
        <v>0</v>
      </c>
      <c r="UN16" s="1493">
        <f t="shared" si="211"/>
        <v>0</v>
      </c>
      <c r="UO16" s="1267">
        <f t="shared" si="131"/>
        <v>0</v>
      </c>
      <c r="UP16" s="1029">
        <f>'[1]Иные межбюджетные трансферты'!S14</f>
        <v>0</v>
      </c>
      <c r="UQ16" s="1266">
        <f>'[1]Иные межбюджетные трансферты'!U14</f>
        <v>0</v>
      </c>
      <c r="UR16" s="769">
        <f t="shared" si="132"/>
        <v>0</v>
      </c>
      <c r="US16" s="1029"/>
      <c r="UT16" s="1266"/>
      <c r="UU16" s="1267">
        <f t="shared" si="133"/>
        <v>0</v>
      </c>
      <c r="UV16" s="1029">
        <f>'[1]Иные межбюджетные трансферты'!O14</f>
        <v>0</v>
      </c>
      <c r="UW16" s="1266">
        <f>'[1]Иные межбюджетные трансферты'!Q14</f>
        <v>0</v>
      </c>
      <c r="UX16" s="769">
        <f t="shared" si="134"/>
        <v>0</v>
      </c>
      <c r="UY16" s="1029"/>
      <c r="UZ16" s="1266"/>
      <c r="VA16" s="888">
        <f t="shared" si="212"/>
        <v>0</v>
      </c>
      <c r="VB16" s="887">
        <f>'[1]Иные межбюджетные трансферты'!I14</f>
        <v>0</v>
      </c>
      <c r="VC16" s="945">
        <f>'[1]Иные межбюджетные трансферты'!K14</f>
        <v>0</v>
      </c>
      <c r="VD16" s="1158">
        <f>'[1]Иные межбюджетные трансферты'!M14</f>
        <v>0</v>
      </c>
      <c r="VE16" s="888">
        <f t="shared" si="213"/>
        <v>0</v>
      </c>
      <c r="VF16" s="980"/>
      <c r="VG16" s="978"/>
      <c r="VH16" s="1323"/>
      <c r="VI16" s="528">
        <f t="shared" si="135"/>
        <v>0</v>
      </c>
      <c r="VJ16" s="882"/>
      <c r="VK16" s="888">
        <f t="shared" si="136"/>
        <v>0</v>
      </c>
      <c r="VL16" s="531"/>
      <c r="VM16" s="893">
        <f t="shared" si="137"/>
        <v>0</v>
      </c>
      <c r="VN16" s="529"/>
      <c r="VO16" s="893">
        <f t="shared" si="138"/>
        <v>0</v>
      </c>
      <c r="VP16" s="529"/>
      <c r="VQ16" s="893">
        <f t="shared" si="139"/>
        <v>0</v>
      </c>
      <c r="VR16" s="882"/>
      <c r="VS16" s="1028">
        <f t="shared" si="140"/>
        <v>0</v>
      </c>
      <c r="VT16" s="531"/>
      <c r="VU16" s="535">
        <f>VW16+'План и исполнение'!WE16+WA16+'План и исполнение'!WI16+WC16+'План и исполнение'!WK16</f>
        <v>-12150000</v>
      </c>
      <c r="VV16" s="535">
        <f>VX16+'План и исполнение'!WF16+WB16+'План и исполнение'!WJ16+WD16+'План и исполнение'!WL16</f>
        <v>-4850000</v>
      </c>
      <c r="VW16" s="549">
        <v>11700000</v>
      </c>
      <c r="VX16" s="549"/>
      <c r="VY16" s="549"/>
      <c r="VZ16" s="549"/>
      <c r="WA16" s="546">
        <f t="shared" si="141"/>
        <v>0</v>
      </c>
      <c r="WB16" s="544">
        <f t="shared" si="142"/>
        <v>0</v>
      </c>
      <c r="WC16" s="550"/>
      <c r="WD16" s="539"/>
      <c r="WE16" s="549">
        <v>-21700000</v>
      </c>
      <c r="WF16" s="549">
        <v>-4850000</v>
      </c>
      <c r="WG16" s="549">
        <v>-2150000</v>
      </c>
      <c r="WH16" s="549"/>
      <c r="WI16" s="546">
        <f t="shared" si="143"/>
        <v>-2150000</v>
      </c>
      <c r="WJ16" s="544">
        <f t="shared" si="144"/>
        <v>0</v>
      </c>
      <c r="WK16" s="539"/>
      <c r="WL16" s="539"/>
      <c r="WM16" s="1547">
        <f>'План и исполнение'!WE16+'План и исполнение'!WG16</f>
        <v>-23850000</v>
      </c>
      <c r="WN16" s="1547">
        <f>'План и исполнение'!WF16+'План и исполнение'!WH16</f>
        <v>-4850000</v>
      </c>
      <c r="WO16" s="1154"/>
    </row>
    <row r="17" spans="1:613" s="340" customFormat="1" ht="25.5" customHeight="1" x14ac:dyDescent="0.3">
      <c r="A17" s="349" t="s">
        <v>84</v>
      </c>
      <c r="B17" s="542">
        <f>D17+AI17+'План и исполнение'!RA17+'План и исполнение'!SG17</f>
        <v>517749230.08000004</v>
      </c>
      <c r="C17" s="535">
        <f>E17+'План и исполнение'!RD17+AJ17+'План и исполнение'!SH17</f>
        <v>256855680.65000001</v>
      </c>
      <c r="D17" s="540">
        <f t="shared" si="0"/>
        <v>119076134</v>
      </c>
      <c r="E17" s="542">
        <f t="shared" si="1"/>
        <v>70108350</v>
      </c>
      <c r="F17" s="603">
        <f>'[1]Дотация  из  ОБ_факт'!M13</f>
        <v>64205200</v>
      </c>
      <c r="G17" s="1551">
        <v>36603000</v>
      </c>
      <c r="H17" s="1556">
        <f>'[1]Дотация  из  ОБ_факт'!G13</f>
        <v>25641000</v>
      </c>
      <c r="I17" s="1551">
        <v>12820500</v>
      </c>
      <c r="J17" s="604">
        <f t="shared" si="2"/>
        <v>25641000</v>
      </c>
      <c r="K17" s="611">
        <f t="shared" si="3"/>
        <v>12820500</v>
      </c>
      <c r="L17" s="891">
        <f>'[1]Дотация  из  ОБ_факт'!K13</f>
        <v>0</v>
      </c>
      <c r="M17" s="782"/>
      <c r="N17" s="603">
        <f>'[1]Дотация  из  ОБ_факт'!Q13</f>
        <v>637500</v>
      </c>
      <c r="O17" s="1054">
        <v>637500</v>
      </c>
      <c r="P17" s="603">
        <f>'[1]Дотация  из  ОБ_факт'!S13</f>
        <v>26814700</v>
      </c>
      <c r="Q17" s="1048">
        <v>18892350</v>
      </c>
      <c r="R17" s="611">
        <f t="shared" si="4"/>
        <v>26814700</v>
      </c>
      <c r="S17" s="605">
        <f t="shared" si="5"/>
        <v>18892350</v>
      </c>
      <c r="T17" s="891">
        <f>'[1]Дотация  из  ОБ_факт'!W13</f>
        <v>0</v>
      </c>
      <c r="U17" s="643"/>
      <c r="V17" s="603">
        <f>'[1]Дотация  из  ОБ_факт'!AA13+'[1]Дотация  из  ОБ_факт'!AC13+'[1]Дотация  из  ОБ_факт'!AG13</f>
        <v>1522734</v>
      </c>
      <c r="W17" s="465">
        <f t="shared" si="6"/>
        <v>900000</v>
      </c>
      <c r="X17" s="607"/>
      <c r="Y17" s="606">
        <v>900000</v>
      </c>
      <c r="Z17" s="607"/>
      <c r="AA17" s="603">
        <f>'[1]Дотация  из  ОБ_факт'!Y13+'[1]Дотация  из  ОБ_факт'!AE13</f>
        <v>255000</v>
      </c>
      <c r="AB17" s="170">
        <f t="shared" si="7"/>
        <v>255000</v>
      </c>
      <c r="AC17" s="606">
        <v>255000</v>
      </c>
      <c r="AD17" s="607"/>
      <c r="AE17" s="604">
        <f t="shared" si="8"/>
        <v>255000</v>
      </c>
      <c r="AF17" s="611">
        <f t="shared" si="9"/>
        <v>255000</v>
      </c>
      <c r="AG17" s="604">
        <f>'[1]Дотация  из  ОБ_факт'!AE13</f>
        <v>0</v>
      </c>
      <c r="AH17" s="772"/>
      <c r="AI17" s="599">
        <f>'План и исполнение'!LQ17+'План и исполнение'!QS17+'План и исполнение'!QU17+CQ17+CS17+CY17+DA17+BS17+CA17+'План и исполнение'!JQ17+'План и исполнение'!KA17+'План и исполнение'!EC17+'План и исполнение'!LE17+DM17+'План и исполнение'!IM17+'План и исполнение'!IS17+'План и исполнение'!MM17+'План и исполнение'!MU17+IG17+'План и исполнение'!MA17+FK17+EY17+PO17+ES17+AK17+AU17+FE17+JK17+GG17+GQ17+DG17+PU17+FQ17+EI17+QA17+NY17+GA17+CM17+HU17+IA17+NS17</f>
        <v>166495262.08000001</v>
      </c>
      <c r="AJ17" s="504">
        <f>'План и исполнение'!LV17+'План и исполнение'!QT17+'План и исполнение'!QV17+CR17+CT17+CZ17+DB17+BW17+CE17+'План и исполнение'!JV17+'План и исполнение'!KF17+'План и исполнение'!EF17+'План и исполнение'!LK17+DU17+'План и исполнение'!IP17+'План и исполнение'!IV17+'План и исполнение'!MQ17+'План и исполнение'!MY17+IJ17+'План и исполнение'!ME17+FH17+FN17+FB17+PR17+EV17+AP17+AY17+JN17+GL17+GV17+DJ17+PX17+FT17+EN17+QD17+OF17+GD17+CO17+HX17+ID17+NV17</f>
        <v>58500104.120000005</v>
      </c>
      <c r="AK17" s="504">
        <f t="shared" si="10"/>
        <v>0</v>
      </c>
      <c r="AL17" s="343">
        <f>[1]Субсидия_факт!DB15</f>
        <v>0</v>
      </c>
      <c r="AM17" s="516">
        <f>[1]Субсидия_факт!FF15</f>
        <v>0</v>
      </c>
      <c r="AN17" s="514">
        <f>[1]Субсидия_факт!FR15</f>
        <v>0</v>
      </c>
      <c r="AO17" s="516">
        <f>[1]Субсидия_факт!MZ15</f>
        <v>0</v>
      </c>
      <c r="AP17" s="504">
        <f t="shared" si="11"/>
        <v>0</v>
      </c>
      <c r="AQ17" s="479"/>
      <c r="AR17" s="479"/>
      <c r="AS17" s="479"/>
      <c r="AT17" s="479"/>
      <c r="AU17" s="504">
        <f t="shared" si="12"/>
        <v>0</v>
      </c>
      <c r="AV17" s="469">
        <f>[1]Субсидия_факт!DD15</f>
        <v>0</v>
      </c>
      <c r="AW17" s="343">
        <f>[1]Субсидия_факт!FJ15</f>
        <v>0</v>
      </c>
      <c r="AX17" s="514">
        <f>[1]Субсидия_факт!NB15</f>
        <v>0</v>
      </c>
      <c r="AY17" s="504">
        <f t="shared" si="13"/>
        <v>0</v>
      </c>
      <c r="AZ17" s="547"/>
      <c r="BA17" s="547"/>
      <c r="BB17" s="548"/>
      <c r="BC17" s="697">
        <f t="shared" si="14"/>
        <v>0</v>
      </c>
      <c r="BD17" s="680">
        <f t="shared" si="15"/>
        <v>0</v>
      </c>
      <c r="BE17" s="469">
        <f t="shared" si="16"/>
        <v>0</v>
      </c>
      <c r="BF17" s="343">
        <f t="shared" si="17"/>
        <v>0</v>
      </c>
      <c r="BG17" s="697">
        <f t="shared" si="18"/>
        <v>0</v>
      </c>
      <c r="BH17" s="647">
        <f t="shared" si="19"/>
        <v>0</v>
      </c>
      <c r="BI17" s="514">
        <f t="shared" si="20"/>
        <v>0</v>
      </c>
      <c r="BJ17" s="343">
        <f t="shared" si="21"/>
        <v>0</v>
      </c>
      <c r="BK17" s="697">
        <f t="shared" si="22"/>
        <v>0</v>
      </c>
      <c r="BL17" s="469">
        <f>[1]Субсидия_факт!DF15</f>
        <v>0</v>
      </c>
      <c r="BM17" s="343">
        <f>[1]Субсидия_факт!FL15</f>
        <v>0</v>
      </c>
      <c r="BN17" s="469">
        <f>[1]Субсидия_факт!ND15</f>
        <v>0</v>
      </c>
      <c r="BO17" s="697">
        <f t="shared" si="23"/>
        <v>0</v>
      </c>
      <c r="BP17" s="548"/>
      <c r="BQ17" s="547"/>
      <c r="BR17" s="548"/>
      <c r="BS17" s="535">
        <f t="shared" si="145"/>
        <v>34332369</v>
      </c>
      <c r="BT17" s="449">
        <f>[1]Субсидия_факт!IL15</f>
        <v>14587906</v>
      </c>
      <c r="BU17" s="343">
        <f>[1]Субсидия_факт!IR15</f>
        <v>19744463</v>
      </c>
      <c r="BV17" s="529">
        <f>[1]Субсидия_факт!JD15</f>
        <v>0</v>
      </c>
      <c r="BW17" s="535">
        <f t="shared" si="146"/>
        <v>0</v>
      </c>
      <c r="BX17" s="547"/>
      <c r="BY17" s="547"/>
      <c r="BZ17" s="650"/>
      <c r="CA17" s="535">
        <f t="shared" si="147"/>
        <v>0</v>
      </c>
      <c r="CB17" s="469">
        <f>[1]Субсидия_факт!IN15</f>
        <v>0</v>
      </c>
      <c r="CC17" s="343">
        <f>[1]Субсидия_факт!IT15</f>
        <v>0</v>
      </c>
      <c r="CD17" s="529">
        <f>[1]Субсидия_факт!JF15</f>
        <v>0</v>
      </c>
      <c r="CE17" s="535">
        <f t="shared" si="148"/>
        <v>0</v>
      </c>
      <c r="CF17" s="547"/>
      <c r="CG17" s="548"/>
      <c r="CH17" s="760"/>
      <c r="CI17" s="546">
        <f t="shared" si="24"/>
        <v>0</v>
      </c>
      <c r="CJ17" s="544">
        <f t="shared" si="25"/>
        <v>0</v>
      </c>
      <c r="CK17" s="543">
        <f t="shared" si="149"/>
        <v>0</v>
      </c>
      <c r="CL17" s="546">
        <f t="shared" si="150"/>
        <v>0</v>
      </c>
      <c r="CM17" s="965">
        <f t="shared" si="151"/>
        <v>0</v>
      </c>
      <c r="CN17" s="721">
        <f>[1]Субсидия_факт!FT15</f>
        <v>0</v>
      </c>
      <c r="CO17" s="965">
        <f t="shared" si="151"/>
        <v>0</v>
      </c>
      <c r="CP17" s="721"/>
      <c r="CQ17" s="534">
        <f>[1]Субсидия_факт!FV15</f>
        <v>0</v>
      </c>
      <c r="CR17" s="644"/>
      <c r="CS17" s="535">
        <f>[1]Субсидия_факт!FX15</f>
        <v>0</v>
      </c>
      <c r="CT17" s="644"/>
      <c r="CU17" s="544">
        <f t="shared" si="26"/>
        <v>0</v>
      </c>
      <c r="CV17" s="543">
        <f t="shared" si="27"/>
        <v>0</v>
      </c>
      <c r="CW17" s="610">
        <f>[1]Субсидия_факт!FZ15</f>
        <v>0</v>
      </c>
      <c r="CX17" s="643"/>
      <c r="CY17" s="542">
        <f>[1]Субсидия_факт!GB15</f>
        <v>0</v>
      </c>
      <c r="CZ17" s="341"/>
      <c r="DA17" s="534">
        <f>[1]Субсидия_факт!GD15</f>
        <v>0</v>
      </c>
      <c r="DB17" s="644"/>
      <c r="DC17" s="544">
        <f t="shared" si="28"/>
        <v>0</v>
      </c>
      <c r="DD17" s="544">
        <f t="shared" si="29"/>
        <v>0</v>
      </c>
      <c r="DE17" s="691">
        <f>[1]Субсидия_факт!GF15</f>
        <v>0</v>
      </c>
      <c r="DF17" s="342"/>
      <c r="DG17" s="504">
        <f t="shared" si="30"/>
        <v>0</v>
      </c>
      <c r="DH17" s="529">
        <f>[1]Субсидия_факт!EV15</f>
        <v>0</v>
      </c>
      <c r="DI17" s="896">
        <f>[1]Субсидия_факт!EX15</f>
        <v>0</v>
      </c>
      <c r="DJ17" s="471">
        <f t="shared" si="31"/>
        <v>0</v>
      </c>
      <c r="DK17" s="809"/>
      <c r="DL17" s="1083"/>
      <c r="DM17" s="542">
        <f t="shared" si="32"/>
        <v>322939</v>
      </c>
      <c r="DN17" s="541">
        <f>[1]Субсидия_факт!R15</f>
        <v>0</v>
      </c>
      <c r="DO17" s="1210">
        <f>[1]Субсидия_факт!T15</f>
        <v>0</v>
      </c>
      <c r="DP17" s="713">
        <f>[1]Субсидия_факт!V15</f>
        <v>0</v>
      </c>
      <c r="DQ17" s="673">
        <f>[1]Субсидия_факт!X15</f>
        <v>0</v>
      </c>
      <c r="DR17" s="814">
        <f>[1]Субсидия_факт!Z15</f>
        <v>0</v>
      </c>
      <c r="DS17" s="516">
        <f>[1]Субсидия_факт!AB15</f>
        <v>0</v>
      </c>
      <c r="DT17" s="673">
        <f>[1]Субсидия_факт!AD15</f>
        <v>322939</v>
      </c>
      <c r="DU17" s="535">
        <f t="shared" si="33"/>
        <v>322939</v>
      </c>
      <c r="DV17" s="548"/>
      <c r="DW17" s="547"/>
      <c r="DX17" s="717"/>
      <c r="DY17" s="547"/>
      <c r="DZ17" s="717"/>
      <c r="EA17" s="548"/>
      <c r="EB17" s="1210">
        <f t="shared" si="214"/>
        <v>322939</v>
      </c>
      <c r="EC17" s="504">
        <f t="shared" si="34"/>
        <v>0</v>
      </c>
      <c r="ED17" s="529">
        <f>[1]Субсидия_факт!BN15</f>
        <v>0</v>
      </c>
      <c r="EE17" s="896">
        <f>[1]Субсидия_факт!BP15</f>
        <v>0</v>
      </c>
      <c r="EF17" s="471">
        <f t="shared" si="35"/>
        <v>0</v>
      </c>
      <c r="EG17" s="809"/>
      <c r="EH17" s="1083"/>
      <c r="EI17" s="542">
        <f t="shared" si="152"/>
        <v>0</v>
      </c>
      <c r="EJ17" s="469">
        <f>[1]Субсидия_факт!AJ15</f>
        <v>0</v>
      </c>
      <c r="EK17" s="721">
        <f>[1]Субсидия_факт!AL15</f>
        <v>0</v>
      </c>
      <c r="EL17" s="449">
        <f>[1]Субсидия_факт!AN15</f>
        <v>0</v>
      </c>
      <c r="EM17" s="721">
        <f>[1]Субсидия_факт!AP15</f>
        <v>0</v>
      </c>
      <c r="EN17" s="535">
        <f t="shared" si="153"/>
        <v>0</v>
      </c>
      <c r="EO17" s="479"/>
      <c r="EP17" s="717"/>
      <c r="EQ17" s="479"/>
      <c r="ER17" s="717"/>
      <c r="ES17" s="504">
        <f t="shared" si="36"/>
        <v>0</v>
      </c>
      <c r="ET17" s="529">
        <f>[1]Субсидия_факт!AX15</f>
        <v>0</v>
      </c>
      <c r="EU17" s="789">
        <f>[1]Субсидия_факт!AZ15</f>
        <v>0</v>
      </c>
      <c r="EV17" s="471">
        <f t="shared" si="37"/>
        <v>0</v>
      </c>
      <c r="EW17" s="809"/>
      <c r="EX17" s="708"/>
      <c r="EY17" s="504">
        <f t="shared" si="38"/>
        <v>0</v>
      </c>
      <c r="EZ17" s="529">
        <f>[1]Субсидия_факт!BZ15</f>
        <v>0</v>
      </c>
      <c r="FA17" s="896">
        <f>[1]Субсидия_факт!CB15</f>
        <v>0</v>
      </c>
      <c r="FB17" s="471">
        <f t="shared" si="39"/>
        <v>0</v>
      </c>
      <c r="FC17" s="809"/>
      <c r="FD17" s="708"/>
      <c r="FE17" s="504">
        <f t="shared" si="40"/>
        <v>0</v>
      </c>
      <c r="FF17" s="529">
        <f>[1]Субсидия_факт!BR15</f>
        <v>0</v>
      </c>
      <c r="FG17" s="896">
        <f>[1]Субсидия_факт!BT15</f>
        <v>0</v>
      </c>
      <c r="FH17" s="471">
        <f t="shared" si="41"/>
        <v>0</v>
      </c>
      <c r="FI17" s="809"/>
      <c r="FJ17" s="708"/>
      <c r="FK17" s="504">
        <f t="shared" si="42"/>
        <v>0</v>
      </c>
      <c r="FL17" s="529">
        <f>[1]Субсидия_факт!KJ15</f>
        <v>0</v>
      </c>
      <c r="FM17" s="896">
        <f>[1]Субсидия_факт!KL15</f>
        <v>0</v>
      </c>
      <c r="FN17" s="471">
        <f t="shared" si="43"/>
        <v>0</v>
      </c>
      <c r="FO17" s="809"/>
      <c r="FP17" s="708"/>
      <c r="FQ17" s="504">
        <f t="shared" si="44"/>
        <v>0</v>
      </c>
      <c r="FR17" s="529">
        <f>[1]Субсидия_факт!KN15</f>
        <v>0</v>
      </c>
      <c r="FS17" s="896">
        <f>[1]Субсидия_факт!KR15</f>
        <v>0</v>
      </c>
      <c r="FT17" s="471">
        <f t="shared" si="45"/>
        <v>0</v>
      </c>
      <c r="FU17" s="809"/>
      <c r="FV17" s="708"/>
      <c r="FW17" s="695">
        <f t="shared" si="154"/>
        <v>0</v>
      </c>
      <c r="FX17" s="697">
        <f t="shared" si="155"/>
        <v>0</v>
      </c>
      <c r="FY17" s="695">
        <f t="shared" si="156"/>
        <v>0</v>
      </c>
      <c r="FZ17" s="697">
        <f t="shared" si="157"/>
        <v>0</v>
      </c>
      <c r="GA17" s="504">
        <f t="shared" si="158"/>
        <v>0</v>
      </c>
      <c r="GB17" s="1374">
        <f>[1]Субсидия_факт!BJ15</f>
        <v>0</v>
      </c>
      <c r="GC17" s="706">
        <f>[1]Субсидия_факт!BL15</f>
        <v>0</v>
      </c>
      <c r="GD17" s="504">
        <f t="shared" si="159"/>
        <v>0</v>
      </c>
      <c r="GE17" s="760"/>
      <c r="GF17" s="708"/>
      <c r="GG17" s="504">
        <f t="shared" si="46"/>
        <v>0</v>
      </c>
      <c r="GH17" s="760"/>
      <c r="GI17" s="708"/>
      <c r="GJ17" s="529"/>
      <c r="GK17" s="896"/>
      <c r="GL17" s="471">
        <f t="shared" si="47"/>
        <v>0</v>
      </c>
      <c r="GM17" s="760"/>
      <c r="GN17" s="708"/>
      <c r="GO17" s="760"/>
      <c r="GP17" s="708"/>
      <c r="GQ17" s="471">
        <f t="shared" si="160"/>
        <v>1722570.14</v>
      </c>
      <c r="GR17" s="1374">
        <f>[1]Субсидия_факт!GJ15</f>
        <v>156812.46</v>
      </c>
      <c r="GS17" s="706">
        <f>[1]Субсидия_факт!GN15</f>
        <v>0</v>
      </c>
      <c r="GT17" s="529">
        <f>[1]Субсидия_факт!GX15</f>
        <v>918973.29999999993</v>
      </c>
      <c r="GU17" s="896">
        <f>[1]Субсидия_факт!HB15</f>
        <v>646784.37999999989</v>
      </c>
      <c r="GV17" s="471">
        <f t="shared" si="161"/>
        <v>446359.74</v>
      </c>
      <c r="GW17" s="760"/>
      <c r="GX17" s="708"/>
      <c r="GY17" s="760">
        <v>261977.12</v>
      </c>
      <c r="GZ17" s="708">
        <v>184382.62</v>
      </c>
      <c r="HA17" s="695">
        <f t="shared" si="162"/>
        <v>1722570.14</v>
      </c>
      <c r="HB17" s="1374">
        <f t="shared" si="48"/>
        <v>156812.46</v>
      </c>
      <c r="HC17" s="1375">
        <f t="shared" si="49"/>
        <v>0</v>
      </c>
      <c r="HD17" s="529">
        <f t="shared" si="50"/>
        <v>918973.29999999993</v>
      </c>
      <c r="HE17" s="896">
        <f t="shared" si="51"/>
        <v>646784.37999999989</v>
      </c>
      <c r="HF17" s="695">
        <f t="shared" si="163"/>
        <v>446359.74</v>
      </c>
      <c r="HG17" s="1374">
        <f t="shared" si="52"/>
        <v>0</v>
      </c>
      <c r="HH17" s="1375">
        <f t="shared" si="53"/>
        <v>0</v>
      </c>
      <c r="HI17" s="529">
        <f t="shared" si="54"/>
        <v>261977.12</v>
      </c>
      <c r="HJ17" s="896">
        <f t="shared" si="55"/>
        <v>184382.62</v>
      </c>
      <c r="HK17" s="695">
        <f t="shared" si="164"/>
        <v>0</v>
      </c>
      <c r="HL17" s="1374">
        <f>[1]Субсидия_факт!GL15</f>
        <v>0</v>
      </c>
      <c r="HM17" s="706">
        <f>[1]Субсидия_факт!GP15</f>
        <v>0</v>
      </c>
      <c r="HN17" s="529">
        <f>[1]Субсидия_факт!GZ15</f>
        <v>0</v>
      </c>
      <c r="HO17" s="896">
        <f>[1]Субсидия_факт!HD15</f>
        <v>0</v>
      </c>
      <c r="HP17" s="695">
        <f t="shared" si="165"/>
        <v>0</v>
      </c>
      <c r="HQ17" s="760"/>
      <c r="HR17" s="708"/>
      <c r="HS17" s="760"/>
      <c r="HT17" s="708"/>
      <c r="HU17" s="542">
        <f t="shared" si="56"/>
        <v>0</v>
      </c>
      <c r="HV17" s="531">
        <f>[1]Субсидия_факт!N15</f>
        <v>0</v>
      </c>
      <c r="HW17" s="789">
        <f>[1]Субсидия_факт!P15</f>
        <v>0</v>
      </c>
      <c r="HX17" s="535">
        <f t="shared" si="57"/>
        <v>0</v>
      </c>
      <c r="HY17" s="547"/>
      <c r="HZ17" s="739"/>
      <c r="IA17" s="542">
        <f t="shared" si="58"/>
        <v>0</v>
      </c>
      <c r="IB17" s="541">
        <f>[1]Субсидия_факт!DZ15</f>
        <v>0</v>
      </c>
      <c r="IC17" s="721">
        <f>[1]Субсидия_факт!EB15</f>
        <v>0</v>
      </c>
      <c r="ID17" s="534">
        <f t="shared" si="59"/>
        <v>0</v>
      </c>
      <c r="IE17" s="547"/>
      <c r="IF17" s="739"/>
      <c r="IG17" s="542">
        <f t="shared" si="166"/>
        <v>0</v>
      </c>
      <c r="IH17" s="531">
        <f>[1]Субсидия_факт!EP15</f>
        <v>0</v>
      </c>
      <c r="II17" s="789">
        <f>[1]Субсидия_факт!ER15</f>
        <v>0</v>
      </c>
      <c r="IJ17" s="535">
        <f t="shared" si="167"/>
        <v>0</v>
      </c>
      <c r="IK17" s="547"/>
      <c r="IL17" s="739"/>
      <c r="IM17" s="599">
        <f t="shared" si="62"/>
        <v>378791.53</v>
      </c>
      <c r="IN17" s="529">
        <f>[1]Субсидия_факт!ED15</f>
        <v>106062.15</v>
      </c>
      <c r="IO17" s="896">
        <f>[1]Субсидия_факт!EJ15</f>
        <v>272729.38</v>
      </c>
      <c r="IP17" s="471">
        <f t="shared" si="63"/>
        <v>0</v>
      </c>
      <c r="IQ17" s="760"/>
      <c r="IR17" s="708"/>
      <c r="IS17" s="471">
        <f t="shared" si="64"/>
        <v>948640.16999999993</v>
      </c>
      <c r="IT17" s="529">
        <f>[1]Субсидия_факт!EF15</f>
        <v>265620.55</v>
      </c>
      <c r="IU17" s="789">
        <f>[1]Субсидия_факт!EL15</f>
        <v>683019.62</v>
      </c>
      <c r="IV17" s="471">
        <f t="shared" si="65"/>
        <v>948640.16999999993</v>
      </c>
      <c r="IW17" s="793">
        <f>IT17</f>
        <v>265620.55</v>
      </c>
      <c r="IX17" s="830">
        <f>IU17</f>
        <v>683019.62</v>
      </c>
      <c r="IY17" s="697">
        <f t="shared" si="66"/>
        <v>948640.16999999993</v>
      </c>
      <c r="IZ17" s="787">
        <f>'План и исполнение'!IT17-'План и исполнение'!JF17</f>
        <v>265620.55</v>
      </c>
      <c r="JA17" s="706">
        <f>'План и исполнение'!IU17-'План и исполнение'!JG17</f>
        <v>683019.62</v>
      </c>
      <c r="JB17" s="691">
        <f t="shared" si="67"/>
        <v>948640.16999999993</v>
      </c>
      <c r="JC17" s="793">
        <f>'План и исполнение'!IW17-'План и исполнение'!JI17</f>
        <v>265620.55</v>
      </c>
      <c r="JD17" s="804">
        <f>'План и исполнение'!IX17-'План и исполнение'!JJ17</f>
        <v>683019.62</v>
      </c>
      <c r="JE17" s="697">
        <f t="shared" si="68"/>
        <v>0</v>
      </c>
      <c r="JF17" s="529">
        <f>[1]Субсидия_факт!EH15</f>
        <v>0</v>
      </c>
      <c r="JG17" s="896">
        <f>[1]Субсидия_факт!EN15</f>
        <v>0</v>
      </c>
      <c r="JH17" s="697">
        <f t="shared" si="69"/>
        <v>0</v>
      </c>
      <c r="JI17" s="529"/>
      <c r="JJ17" s="789"/>
      <c r="JK17" s="471">
        <f t="shared" si="70"/>
        <v>93825120</v>
      </c>
      <c r="JL17" s="793">
        <f>[1]Субсидия_факт!AR15</f>
        <v>69613420</v>
      </c>
      <c r="JM17" s="706">
        <f>[1]Субсидия_факт!AT15</f>
        <v>24211700</v>
      </c>
      <c r="JN17" s="471">
        <f t="shared" si="71"/>
        <v>38738988.590000004</v>
      </c>
      <c r="JO17" s="650">
        <v>28742339.82</v>
      </c>
      <c r="JP17" s="708">
        <v>9996648.7699999996</v>
      </c>
      <c r="JQ17" s="785">
        <f t="shared" si="72"/>
        <v>0</v>
      </c>
      <c r="JR17" s="793">
        <f>[1]Субсидия_факт!CJ15</f>
        <v>0</v>
      </c>
      <c r="JS17" s="706">
        <f>[1]Субсидия_факт!CP15</f>
        <v>0</v>
      </c>
      <c r="JT17" s="529">
        <f>[1]Субсидия_факт!DN15</f>
        <v>0</v>
      </c>
      <c r="JU17" s="896">
        <f>[1]Субсидия_факт!DT15</f>
        <v>0</v>
      </c>
      <c r="JV17" s="471">
        <f t="shared" si="73"/>
        <v>0</v>
      </c>
      <c r="JW17" s="650"/>
      <c r="JX17" s="708"/>
      <c r="JY17" s="650"/>
      <c r="JZ17" s="892"/>
      <c r="KA17" s="785">
        <f t="shared" si="74"/>
        <v>0</v>
      </c>
      <c r="KB17" s="793">
        <f>[1]Субсидия_факт!CL15</f>
        <v>0</v>
      </c>
      <c r="KC17" s="706">
        <f>[1]Субсидия_факт!CR15</f>
        <v>0</v>
      </c>
      <c r="KD17" s="529">
        <f>[1]Субсидия_факт!DP15</f>
        <v>0</v>
      </c>
      <c r="KE17" s="896">
        <f>[1]Субсидия_факт!DV15</f>
        <v>0</v>
      </c>
      <c r="KF17" s="471">
        <f t="shared" si="75"/>
        <v>0</v>
      </c>
      <c r="KG17" s="650"/>
      <c r="KH17" s="708"/>
      <c r="KI17" s="809"/>
      <c r="KJ17" s="708"/>
      <c r="KK17" s="788">
        <f t="shared" si="76"/>
        <v>0</v>
      </c>
      <c r="KL17" s="793">
        <f>'План и исполнение'!KB17-KV17</f>
        <v>0</v>
      </c>
      <c r="KM17" s="706">
        <f>'План и исполнение'!KC17-KW17</f>
        <v>0</v>
      </c>
      <c r="KN17" s="787">
        <f>'План и исполнение'!KD17-KX17</f>
        <v>0</v>
      </c>
      <c r="KO17" s="706">
        <f>'План и исполнение'!KE17-KY17</f>
        <v>0</v>
      </c>
      <c r="KP17" s="788">
        <f t="shared" si="77"/>
        <v>0</v>
      </c>
      <c r="KQ17" s="793">
        <f>'План и исполнение'!KG17-LA17</f>
        <v>0</v>
      </c>
      <c r="KR17" s="830">
        <f>'План и исполнение'!KH17-LB17</f>
        <v>0</v>
      </c>
      <c r="KS17" s="793">
        <f>'План и исполнение'!KI17-LC17</f>
        <v>0</v>
      </c>
      <c r="KT17" s="804">
        <f>'План и исполнение'!KJ17-LD17</f>
        <v>0</v>
      </c>
      <c r="KU17" s="697">
        <f t="shared" si="78"/>
        <v>0</v>
      </c>
      <c r="KV17" s="793">
        <f>[1]Субсидия_факт!CN15</f>
        <v>0</v>
      </c>
      <c r="KW17" s="706">
        <f>[1]Субсидия_факт!CT15</f>
        <v>0</v>
      </c>
      <c r="KX17" s="529">
        <f>[1]Субсидия_факт!DR15</f>
        <v>0</v>
      </c>
      <c r="KY17" s="896">
        <f>[1]Субсидия_факт!DX15</f>
        <v>0</v>
      </c>
      <c r="KZ17" s="697">
        <f t="shared" si="79"/>
        <v>0</v>
      </c>
      <c r="LA17" s="650"/>
      <c r="LB17" s="708"/>
      <c r="LC17" s="531"/>
      <c r="LD17" s="1639"/>
      <c r="LE17" s="504">
        <f t="shared" si="168"/>
        <v>0</v>
      </c>
      <c r="LF17" s="529">
        <f>[1]Субсидия_факт!CD15</f>
        <v>0</v>
      </c>
      <c r="LG17" s="789">
        <f>[1]Субсидия_факт!CF15</f>
        <v>0</v>
      </c>
      <c r="LH17" s="529">
        <f>[1]Субсидия_факт!BV15</f>
        <v>0</v>
      </c>
      <c r="LI17" s="789">
        <f>[1]Субсидия_факт!BX15</f>
        <v>0</v>
      </c>
      <c r="LJ17" s="529">
        <f>[1]Субсидия_факт!CH15</f>
        <v>0</v>
      </c>
      <c r="LK17" s="471">
        <f t="shared" si="169"/>
        <v>0</v>
      </c>
      <c r="LL17" s="650"/>
      <c r="LM17" s="708"/>
      <c r="LN17" s="650"/>
      <c r="LO17" s="708"/>
      <c r="LP17" s="650"/>
      <c r="LQ17" s="504">
        <f t="shared" si="80"/>
        <v>0</v>
      </c>
      <c r="LR17" s="516">
        <f>[1]Субсидия_факт!HN15</f>
        <v>0</v>
      </c>
      <c r="LS17" s="529">
        <f>[1]Субсидия_факт!HL15</f>
        <v>0</v>
      </c>
      <c r="LT17" s="541">
        <f>[1]Субсидия_факт!HV15</f>
        <v>0</v>
      </c>
      <c r="LU17" s="721">
        <f>[1]Субсидия_факт!HX15</f>
        <v>0</v>
      </c>
      <c r="LV17" s="471">
        <f t="shared" si="81"/>
        <v>0</v>
      </c>
      <c r="LW17" s="344"/>
      <c r="LX17" s="650"/>
      <c r="LY17" s="479"/>
      <c r="LZ17" s="717"/>
      <c r="MA17" s="471">
        <f t="shared" si="82"/>
        <v>0</v>
      </c>
      <c r="MB17" s="531">
        <f>[1]Субсидия_факт!HT15</f>
        <v>0</v>
      </c>
      <c r="MC17" s="531">
        <f>[1]Субсидия_факт!HP15</f>
        <v>0</v>
      </c>
      <c r="MD17" s="789">
        <f>[1]Субсидия_факт!HR15</f>
        <v>0</v>
      </c>
      <c r="ME17" s="471">
        <f t="shared" si="83"/>
        <v>0</v>
      </c>
      <c r="MF17" s="793">
        <f t="shared" si="170"/>
        <v>0</v>
      </c>
      <c r="MG17" s="650"/>
      <c r="MH17" s="708"/>
      <c r="MI17" s="893">
        <f t="shared" si="84"/>
        <v>0</v>
      </c>
      <c r="MJ17" s="893">
        <f t="shared" si="85"/>
        <v>0</v>
      </c>
      <c r="MK17" s="695">
        <f t="shared" si="86"/>
        <v>0</v>
      </c>
      <c r="ML17" s="1028">
        <f t="shared" si="87"/>
        <v>0</v>
      </c>
      <c r="MM17" s="791">
        <f t="shared" si="216"/>
        <v>0</v>
      </c>
      <c r="MN17" s="529">
        <f>[1]Субсидия_факт!LH15</f>
        <v>0</v>
      </c>
      <c r="MO17" s="896">
        <f>[1]Субсидия_факт!LN15</f>
        <v>0</v>
      </c>
      <c r="MP17" s="531"/>
      <c r="MQ17" s="791">
        <f t="shared" si="171"/>
        <v>0</v>
      </c>
      <c r="MR17" s="809"/>
      <c r="MS17" s="708"/>
      <c r="MT17" s="531"/>
      <c r="MU17" s="791">
        <f t="shared" si="172"/>
        <v>7000000</v>
      </c>
      <c r="MV17" s="529">
        <f>[1]Субсидия_факт!LJ15</f>
        <v>0</v>
      </c>
      <c r="MW17" s="896">
        <f>[1]Субсидия_факт!LP15</f>
        <v>0</v>
      </c>
      <c r="MX17" s="531">
        <f>[1]Субсидия_факт!LT15</f>
        <v>7000000</v>
      </c>
      <c r="MY17" s="791">
        <f t="shared" si="173"/>
        <v>6175014.1299999999</v>
      </c>
      <c r="MZ17" s="650"/>
      <c r="NA17" s="808"/>
      <c r="NB17" s="650">
        <v>6175014.1299999999</v>
      </c>
      <c r="NC17" s="792">
        <f t="shared" si="175"/>
        <v>7000000</v>
      </c>
      <c r="ND17" s="680">
        <f>'План и исполнение'!MV17-NL17</f>
        <v>0</v>
      </c>
      <c r="NE17" s="713">
        <f>'План и исполнение'!MW17-NM17</f>
        <v>0</v>
      </c>
      <c r="NF17" s="647">
        <f>'План и исполнение'!MX17-NN17</f>
        <v>7000000</v>
      </c>
      <c r="NG17" s="792">
        <f t="shared" si="176"/>
        <v>6175014.1299999999</v>
      </c>
      <c r="NH17" s="787">
        <f>'План и исполнение'!MZ17-NP17</f>
        <v>0</v>
      </c>
      <c r="NI17" s="706">
        <f>'План и исполнение'!NA17-NQ17</f>
        <v>0</v>
      </c>
      <c r="NJ17" s="793">
        <f>'План и исполнение'!NB17-NR17</f>
        <v>6175014.1299999999</v>
      </c>
      <c r="NK17" s="792">
        <f t="shared" si="177"/>
        <v>0</v>
      </c>
      <c r="NL17" s="529">
        <f>[1]Субсидия_факт!LL15</f>
        <v>0</v>
      </c>
      <c r="NM17" s="896">
        <f>[1]Субсидия_факт!LR15</f>
        <v>0</v>
      </c>
      <c r="NN17" s="529">
        <f>[1]Субсидия_факт!LV15</f>
        <v>0</v>
      </c>
      <c r="NO17" s="792">
        <f t="shared" si="178"/>
        <v>0</v>
      </c>
      <c r="NP17" s="787">
        <f t="shared" si="179"/>
        <v>0</v>
      </c>
      <c r="NQ17" s="706">
        <f t="shared" si="180"/>
        <v>0</v>
      </c>
      <c r="NR17" s="529">
        <f t="shared" si="215"/>
        <v>0</v>
      </c>
      <c r="NS17" s="535">
        <f t="shared" si="181"/>
        <v>0</v>
      </c>
      <c r="NT17" s="1285">
        <f>[1]Субсидия_факт!NF15</f>
        <v>0</v>
      </c>
      <c r="NU17" s="713">
        <f>[1]Субсидия_факт!NH15</f>
        <v>0</v>
      </c>
      <c r="NV17" s="535">
        <f t="shared" si="182"/>
        <v>0</v>
      </c>
      <c r="NW17" s="344"/>
      <c r="NX17" s="739"/>
      <c r="NY17" s="535">
        <f t="shared" si="183"/>
        <v>1451895.02</v>
      </c>
      <c r="NZ17" s="1194">
        <f>[1]Субсидия_факт!LX15</f>
        <v>0</v>
      </c>
      <c r="OA17" s="1295">
        <f>[1]Субсидия_факт!MB15</f>
        <v>0</v>
      </c>
      <c r="OB17" s="1194">
        <f>[1]Субсидия_факт!MF15</f>
        <v>406530.61</v>
      </c>
      <c r="OC17" s="713">
        <f>[1]Субсидия_факт!MJ15</f>
        <v>1045364.4099999999</v>
      </c>
      <c r="OD17" s="1285">
        <f>[1]Субсидия_факт!NJ15</f>
        <v>0</v>
      </c>
      <c r="OE17" s="713">
        <f>[1]Субсидия_факт!NN15</f>
        <v>0</v>
      </c>
      <c r="OF17" s="535">
        <f t="shared" si="184"/>
        <v>0</v>
      </c>
      <c r="OG17" s="493"/>
      <c r="OH17" s="746"/>
      <c r="OI17" s="344"/>
      <c r="OJ17" s="739"/>
      <c r="OK17" s="493"/>
      <c r="OL17" s="746"/>
      <c r="OM17" s="610">
        <f t="shared" si="185"/>
        <v>1451895.02</v>
      </c>
      <c r="ON17" s="1194">
        <f t="shared" si="88"/>
        <v>0</v>
      </c>
      <c r="OO17" s="713">
        <f t="shared" si="89"/>
        <v>0</v>
      </c>
      <c r="OP17" s="493">
        <f t="shared" si="90"/>
        <v>406530.61</v>
      </c>
      <c r="OQ17" s="713">
        <f t="shared" si="91"/>
        <v>1045364.4099999999</v>
      </c>
      <c r="OR17" s="1285">
        <f t="shared" si="92"/>
        <v>0</v>
      </c>
      <c r="OS17" s="713">
        <f t="shared" si="93"/>
        <v>0</v>
      </c>
      <c r="OT17" s="610">
        <f t="shared" si="186"/>
        <v>0</v>
      </c>
      <c r="OU17" s="1194">
        <f t="shared" si="94"/>
        <v>0</v>
      </c>
      <c r="OV17" s="713">
        <f t="shared" si="95"/>
        <v>0</v>
      </c>
      <c r="OW17" s="493">
        <f t="shared" si="96"/>
        <v>0</v>
      </c>
      <c r="OX17" s="713">
        <f t="shared" si="97"/>
        <v>0</v>
      </c>
      <c r="OY17" s="1285">
        <f t="shared" si="98"/>
        <v>0</v>
      </c>
      <c r="OZ17" s="713">
        <f t="shared" si="99"/>
        <v>0</v>
      </c>
      <c r="PA17" s="610">
        <f t="shared" si="187"/>
        <v>0</v>
      </c>
      <c r="PB17" s="1194">
        <f>[1]Субсидия_факт!LZ15</f>
        <v>0</v>
      </c>
      <c r="PC17" s="1295">
        <f>[1]Субсидия_факт!MD15</f>
        <v>0</v>
      </c>
      <c r="PD17" s="1194">
        <f>[1]Субсидия_факт!MH15</f>
        <v>0</v>
      </c>
      <c r="PE17" s="713">
        <f>[1]Субсидия_факт!ML15</f>
        <v>0</v>
      </c>
      <c r="PF17" s="991">
        <f>[1]Субсидия_факт!NL15</f>
        <v>0</v>
      </c>
      <c r="PG17" s="801">
        <f>[1]Субсидия_факт!NP15</f>
        <v>0</v>
      </c>
      <c r="PH17" s="610">
        <f t="shared" si="188"/>
        <v>0</v>
      </c>
      <c r="PI17" s="991"/>
      <c r="PJ17" s="746"/>
      <c r="PK17" s="493"/>
      <c r="PL17" s="746"/>
      <c r="PM17" s="493"/>
      <c r="PN17" s="746"/>
      <c r="PO17" s="504">
        <f t="shared" si="100"/>
        <v>0</v>
      </c>
      <c r="PP17" s="529">
        <f>[1]Субсидия_факт!AF15</f>
        <v>0</v>
      </c>
      <c r="PQ17" s="896">
        <f>[1]Субсидия_факт!AH15</f>
        <v>0</v>
      </c>
      <c r="PR17" s="471">
        <f t="shared" si="101"/>
        <v>0</v>
      </c>
      <c r="PS17" s="809"/>
      <c r="PT17" s="708"/>
      <c r="PU17" s="535">
        <f t="shared" si="102"/>
        <v>0</v>
      </c>
      <c r="PV17" s="673">
        <f>[1]Субсидия_факт!MN15</f>
        <v>0</v>
      </c>
      <c r="PW17" s="814">
        <f>[1]Субсидия_факт!MP15</f>
        <v>0</v>
      </c>
      <c r="PX17" s="535">
        <f t="shared" si="103"/>
        <v>0</v>
      </c>
      <c r="PY17" s="1377"/>
      <c r="PZ17" s="717"/>
      <c r="QA17" s="535">
        <f t="shared" si="104"/>
        <v>0</v>
      </c>
      <c r="QB17" s="1194">
        <f>[1]Субсидия_факт!MR15</f>
        <v>0</v>
      </c>
      <c r="QC17" s="713">
        <f>[1]Субсидия_факт!MV15</f>
        <v>0</v>
      </c>
      <c r="QD17" s="535">
        <f t="shared" si="105"/>
        <v>0</v>
      </c>
      <c r="QE17" s="479"/>
      <c r="QF17" s="717"/>
      <c r="QG17" s="610">
        <f t="shared" si="106"/>
        <v>0</v>
      </c>
      <c r="QH17" s="1194">
        <f t="shared" si="107"/>
        <v>0</v>
      </c>
      <c r="QI17" s="713">
        <f t="shared" si="108"/>
        <v>0</v>
      </c>
      <c r="QJ17" s="610">
        <f t="shared" si="109"/>
        <v>0</v>
      </c>
      <c r="QK17" s="1194">
        <f t="shared" si="110"/>
        <v>0</v>
      </c>
      <c r="QL17" s="713">
        <f t="shared" si="111"/>
        <v>0</v>
      </c>
      <c r="QM17" s="610">
        <f t="shared" si="112"/>
        <v>0</v>
      </c>
      <c r="QN17" s="1210">
        <f>[1]Субсидия_факт!MT15</f>
        <v>0</v>
      </c>
      <c r="QO17" s="713">
        <f>[1]Субсидия_факт!MX15</f>
        <v>0</v>
      </c>
      <c r="QP17" s="610">
        <f t="shared" si="113"/>
        <v>0</v>
      </c>
      <c r="QQ17" s="479"/>
      <c r="QR17" s="717"/>
      <c r="QS17" s="535">
        <f>'Прочая  субсидия_МР  и  ГО'!B13</f>
        <v>22624118.659999996</v>
      </c>
      <c r="QT17" s="535">
        <f>'Прочая  субсидия_МР  и  ГО'!C13</f>
        <v>8975217.2799999975</v>
      </c>
      <c r="QU17" s="540">
        <f>'Прочая  субсидия_БП'!B13</f>
        <v>3888818.56</v>
      </c>
      <c r="QV17" s="542">
        <f>'Прочая  субсидия_БП'!C13</f>
        <v>2892945.21</v>
      </c>
      <c r="QW17" s="605">
        <f>'Прочая  субсидия_БП'!D13</f>
        <v>3888818.56</v>
      </c>
      <c r="QX17" s="604">
        <f>'Прочая  субсидия_БП'!E13</f>
        <v>2892945.21</v>
      </c>
      <c r="QY17" s="611">
        <f>'Прочая  субсидия_БП'!F13</f>
        <v>0</v>
      </c>
      <c r="QZ17" s="605">
        <f>'Прочая  субсидия_БП'!G13</f>
        <v>0</v>
      </c>
      <c r="RA17" s="542">
        <f t="shared" si="189"/>
        <v>232177834</v>
      </c>
      <c r="RB17" s="469">
        <f>'План и исполнение'!RZ17+'План и исполнение'!RG17+'План и исполнение'!RI17+'План и исполнение'!RK17</f>
        <v>229775334</v>
      </c>
      <c r="RC17" s="343">
        <f>'План и исполнение'!SB17+'План и исполнение'!RM17+'План и исполнение'!RS17+'План и исполнение'!RO17+'План и исполнение'!RQ17+RU17+RW17+SA17</f>
        <v>2402500</v>
      </c>
      <c r="RD17" s="534">
        <f t="shared" si="190"/>
        <v>128247226.53</v>
      </c>
      <c r="RE17" s="541">
        <f>'План и исполнение'!SD17+'План и исполнение'!RH17+'План и исполнение'!RJ17+'План и исполнение'!RL17</f>
        <v>126907685</v>
      </c>
      <c r="RF17" s="343">
        <f>'План и исполнение'!SF17+'План и исполнение'!RN17+'План и исполнение'!RT17+'План и исполнение'!RP17+'План и исполнение'!RR17+RV17+RX17+SE17</f>
        <v>1339541.53</v>
      </c>
      <c r="RG17" s="599">
        <f>'Субвенция  на  полномочия'!B13</f>
        <v>216124534</v>
      </c>
      <c r="RH17" s="471">
        <f>'Субвенция  на  полномочия'!C13</f>
        <v>121558685</v>
      </c>
      <c r="RI17" s="768">
        <f>[1]Субвенция_факт!P14*1000</f>
        <v>11349100</v>
      </c>
      <c r="RJ17" s="771">
        <v>4397000</v>
      </c>
      <c r="RK17" s="768">
        <f>[1]Субвенция_факт!K14*1000</f>
        <v>1615700</v>
      </c>
      <c r="RL17" s="771">
        <v>520000</v>
      </c>
      <c r="RM17" s="768">
        <f>[1]Субвенция_факт!AF14*1000</f>
        <v>1047500</v>
      </c>
      <c r="RN17" s="771">
        <v>487000.79</v>
      </c>
      <c r="RO17" s="768">
        <f>[1]Субвенция_факт!AG14*1000</f>
        <v>5000</v>
      </c>
      <c r="RP17" s="771">
        <v>0</v>
      </c>
      <c r="RQ17" s="768">
        <f>[1]Субвенция_факт!E14*1000</f>
        <v>0</v>
      </c>
      <c r="RR17" s="771"/>
      <c r="RS17" s="768">
        <f>[1]Субвенция_факт!F14*1000</f>
        <v>0</v>
      </c>
      <c r="RT17" s="877"/>
      <c r="RU17" s="168">
        <f>[1]Субвенция_факт!G14*1000</f>
        <v>0</v>
      </c>
      <c r="RV17" s="1241"/>
      <c r="RW17" s="168">
        <f>[1]Субвенция_факт!H14*1000</f>
        <v>0</v>
      </c>
      <c r="RX17" s="878"/>
      <c r="RY17" s="504">
        <f t="shared" si="191"/>
        <v>2036000</v>
      </c>
      <c r="RZ17" s="887">
        <f>[1]Субвенция_факт!AE14*1000</f>
        <v>686000</v>
      </c>
      <c r="SA17" s="882">
        <f>[1]Субвенция_факт!AD14*1000</f>
        <v>0</v>
      </c>
      <c r="SB17" s="1158">
        <f>[1]Субвенция_факт!AC14*1000</f>
        <v>1350000</v>
      </c>
      <c r="SC17" s="535">
        <f t="shared" si="116"/>
        <v>1284540.74</v>
      </c>
      <c r="SD17" s="974">
        <v>432000</v>
      </c>
      <c r="SE17" s="1645"/>
      <c r="SF17" s="1652">
        <v>852540.74</v>
      </c>
      <c r="SG17" s="279">
        <f>'План и исполнение'!VI17+'План и исполнение'!VA17+'План и исполнение'!TA17+'План и исполнение'!TE17+UO17+UU17+SO17+SS17+TM17+TQ17+UE17+SI17+TY17</f>
        <v>0</v>
      </c>
      <c r="SH17" s="168">
        <f>'План и исполнение'!VK17+'План и исполнение'!VE17+'План и исполнение'!TC17+'План и исполнение'!TG17+UR17+UX17+SQ17+SU17+TO17+TS17+UH17+SL17+UB17</f>
        <v>0</v>
      </c>
      <c r="SI17" s="540">
        <f t="shared" si="117"/>
        <v>0</v>
      </c>
      <c r="SJ17" s="887">
        <f>'[1]Иные межбюджетные трансферты'!E15</f>
        <v>0</v>
      </c>
      <c r="SK17" s="945">
        <f>'[1]Иные межбюджетные трансферты'!G15</f>
        <v>0</v>
      </c>
      <c r="SL17" s="535">
        <f t="shared" si="118"/>
        <v>0</v>
      </c>
      <c r="SM17" s="1323"/>
      <c r="SN17" s="1464"/>
      <c r="SO17" s="1335">
        <f t="shared" si="192"/>
        <v>0</v>
      </c>
      <c r="SP17" s="1115">
        <f>'[1]Иные межбюджетные трансферты'!W15</f>
        <v>0</v>
      </c>
      <c r="SQ17" s="1333">
        <f t="shared" si="193"/>
        <v>0</v>
      </c>
      <c r="SR17" s="1334"/>
      <c r="SS17" s="1336">
        <f t="shared" si="194"/>
        <v>0</v>
      </c>
      <c r="ST17" s="1115">
        <f>'[1]Иные межбюджетные трансферты'!Y15</f>
        <v>0</v>
      </c>
      <c r="SU17" s="1344">
        <f t="shared" si="195"/>
        <v>0</v>
      </c>
      <c r="SV17" s="1334"/>
      <c r="SW17" s="1336">
        <f t="shared" si="196"/>
        <v>0</v>
      </c>
      <c r="SX17" s="1344">
        <f t="shared" si="197"/>
        <v>0</v>
      </c>
      <c r="SY17" s="1355">
        <f t="shared" si="198"/>
        <v>0</v>
      </c>
      <c r="SZ17" s="1344">
        <f t="shared" si="199"/>
        <v>0</v>
      </c>
      <c r="TA17" s="1350">
        <f t="shared" si="119"/>
        <v>0</v>
      </c>
      <c r="TB17" s="1115">
        <f>'[1]Иные межбюджетные трансферты'!AC15</f>
        <v>0</v>
      </c>
      <c r="TC17" s="965">
        <f t="shared" si="120"/>
        <v>0</v>
      </c>
      <c r="TD17" s="945"/>
      <c r="TE17" s="971">
        <f t="shared" si="121"/>
        <v>0</v>
      </c>
      <c r="TF17" s="1115">
        <f>'[1]Иные межбюджетные трансферты'!AE15</f>
        <v>0</v>
      </c>
      <c r="TG17" s="965">
        <f t="shared" si="122"/>
        <v>0</v>
      </c>
      <c r="TH17" s="1214"/>
      <c r="TI17" s="968">
        <f t="shared" si="123"/>
        <v>0</v>
      </c>
      <c r="TJ17" s="962">
        <f t="shared" si="124"/>
        <v>0</v>
      </c>
      <c r="TK17" s="1219">
        <f t="shared" si="200"/>
        <v>0</v>
      </c>
      <c r="TL17" s="962">
        <f t="shared" si="201"/>
        <v>0</v>
      </c>
      <c r="TM17" s="971">
        <f t="shared" si="125"/>
        <v>0</v>
      </c>
      <c r="TN17" s="1115">
        <f>'[1]Иные межбюджетные трансферты'!AI15</f>
        <v>0</v>
      </c>
      <c r="TO17" s="965">
        <f t="shared" si="126"/>
        <v>0</v>
      </c>
      <c r="TP17" s="945"/>
      <c r="TQ17" s="971">
        <f t="shared" si="127"/>
        <v>0</v>
      </c>
      <c r="TR17" s="1115">
        <f>'[1]Иные межбюджетные трансферты'!AK15</f>
        <v>0</v>
      </c>
      <c r="TS17" s="965">
        <f t="shared" si="128"/>
        <v>0</v>
      </c>
      <c r="TT17" s="1214"/>
      <c r="TU17" s="968">
        <f t="shared" si="129"/>
        <v>0</v>
      </c>
      <c r="TV17" s="962">
        <f t="shared" si="130"/>
        <v>0</v>
      </c>
      <c r="TW17" s="1219">
        <f t="shared" si="202"/>
        <v>0</v>
      </c>
      <c r="TX17" s="968">
        <f t="shared" si="203"/>
        <v>0</v>
      </c>
      <c r="TY17" s="971">
        <f t="shared" si="204"/>
        <v>0</v>
      </c>
      <c r="TZ17" s="1210"/>
      <c r="UA17" s="713"/>
      <c r="UB17" s="971">
        <f t="shared" si="205"/>
        <v>0</v>
      </c>
      <c r="UC17" s="810"/>
      <c r="UD17" s="717"/>
      <c r="UE17" s="971">
        <f t="shared" si="206"/>
        <v>0</v>
      </c>
      <c r="UF17" s="1210">
        <f>'[1]Иные межбюджетные трансферты'!AS15</f>
        <v>0</v>
      </c>
      <c r="UG17" s="713">
        <f>'[1]Иные межбюджетные трансферты'!AW15</f>
        <v>0</v>
      </c>
      <c r="UH17" s="965">
        <f t="shared" si="207"/>
        <v>0</v>
      </c>
      <c r="UI17" s="1484"/>
      <c r="UJ17" s="804"/>
      <c r="UK17" s="865">
        <f t="shared" si="208"/>
        <v>0</v>
      </c>
      <c r="UL17" s="865">
        <f t="shared" si="209"/>
        <v>0</v>
      </c>
      <c r="UM17" s="865">
        <f t="shared" si="210"/>
        <v>0</v>
      </c>
      <c r="UN17" s="1493">
        <f t="shared" si="211"/>
        <v>0</v>
      </c>
      <c r="UO17" s="1267">
        <f t="shared" si="131"/>
        <v>0</v>
      </c>
      <c r="UP17" s="1029">
        <f>'[1]Иные межбюджетные трансферты'!S15</f>
        <v>0</v>
      </c>
      <c r="UQ17" s="1266">
        <f>'[1]Иные межбюджетные трансферты'!U15</f>
        <v>0</v>
      </c>
      <c r="UR17" s="769">
        <f t="shared" si="132"/>
        <v>0</v>
      </c>
      <c r="US17" s="1029"/>
      <c r="UT17" s="1266"/>
      <c r="UU17" s="1267">
        <f t="shared" si="133"/>
        <v>0</v>
      </c>
      <c r="UV17" s="1029">
        <f>'[1]Иные межбюджетные трансферты'!O15</f>
        <v>0</v>
      </c>
      <c r="UW17" s="1266">
        <f>'[1]Иные межбюджетные трансферты'!Q15</f>
        <v>0</v>
      </c>
      <c r="UX17" s="769">
        <f t="shared" si="134"/>
        <v>0</v>
      </c>
      <c r="UY17" s="1029"/>
      <c r="UZ17" s="1266"/>
      <c r="VA17" s="888">
        <f t="shared" si="212"/>
        <v>0</v>
      </c>
      <c r="VB17" s="887">
        <f>'[1]Иные межбюджетные трансферты'!I15</f>
        <v>0</v>
      </c>
      <c r="VC17" s="945">
        <f>'[1]Иные межбюджетные трансферты'!K15</f>
        <v>0</v>
      </c>
      <c r="VD17" s="1158">
        <f>'[1]Иные межбюджетные трансферты'!M15</f>
        <v>0</v>
      </c>
      <c r="VE17" s="888">
        <f t="shared" si="213"/>
        <v>0</v>
      </c>
      <c r="VF17" s="980"/>
      <c r="VG17" s="978"/>
      <c r="VH17" s="1323"/>
      <c r="VI17" s="528">
        <f t="shared" si="135"/>
        <v>0</v>
      </c>
      <c r="VJ17" s="882"/>
      <c r="VK17" s="888">
        <f t="shared" si="136"/>
        <v>0</v>
      </c>
      <c r="VL17" s="531"/>
      <c r="VM17" s="893">
        <f t="shared" si="137"/>
        <v>0</v>
      </c>
      <c r="VN17" s="529"/>
      <c r="VO17" s="893">
        <f t="shared" si="138"/>
        <v>0</v>
      </c>
      <c r="VP17" s="529"/>
      <c r="VQ17" s="893">
        <f t="shared" si="139"/>
        <v>0</v>
      </c>
      <c r="VR17" s="882"/>
      <c r="VS17" s="1028">
        <f t="shared" si="140"/>
        <v>0</v>
      </c>
      <c r="VT17" s="531"/>
      <c r="VU17" s="535">
        <f>VW17+'План и исполнение'!WE17+WA17+'План и исполнение'!WI17+WC17+'План и исполнение'!WK17</f>
        <v>-17810000</v>
      </c>
      <c r="VV17" s="535">
        <f>VX17+'План и исполнение'!WF17+WB17+'План и исполнение'!WJ17+WD17+'План и исполнение'!WL17</f>
        <v>-9000000</v>
      </c>
      <c r="VW17" s="549"/>
      <c r="VX17" s="549"/>
      <c r="VY17" s="549">
        <f>80000+950000+140000</f>
        <v>1170000</v>
      </c>
      <c r="VZ17" s="549"/>
      <c r="WA17" s="546">
        <f t="shared" si="141"/>
        <v>1170000</v>
      </c>
      <c r="WB17" s="544">
        <f t="shared" si="142"/>
        <v>0</v>
      </c>
      <c r="WC17" s="550"/>
      <c r="WD17" s="539"/>
      <c r="WE17" s="549">
        <v>-18000000</v>
      </c>
      <c r="WF17" s="549">
        <v>-9000000</v>
      </c>
      <c r="WG17" s="549">
        <v>-980000</v>
      </c>
      <c r="WH17" s="549"/>
      <c r="WI17" s="546">
        <f t="shared" si="143"/>
        <v>-980000</v>
      </c>
      <c r="WJ17" s="544">
        <f t="shared" si="144"/>
        <v>0</v>
      </c>
      <c r="WK17" s="539"/>
      <c r="WL17" s="539"/>
      <c r="WM17" s="1547">
        <f>'План и исполнение'!WE17+'План и исполнение'!WG17</f>
        <v>-18980000</v>
      </c>
      <c r="WN17" s="1547">
        <f>'План и исполнение'!WF17+'План и исполнение'!WH17</f>
        <v>-9000000</v>
      </c>
      <c r="WO17" s="1154"/>
    </row>
    <row r="18" spans="1:613" s="340" customFormat="1" ht="25.5" customHeight="1" x14ac:dyDescent="0.3">
      <c r="A18" s="350" t="s">
        <v>85</v>
      </c>
      <c r="B18" s="542">
        <f>D18+AI18+'План и исполнение'!RA18+'План и исполнение'!SG18</f>
        <v>622839566.96000004</v>
      </c>
      <c r="C18" s="535">
        <f>E18+'План и исполнение'!RD18+AJ18+'План и исполнение'!SH18</f>
        <v>298448156.96000004</v>
      </c>
      <c r="D18" s="540">
        <f t="shared" si="0"/>
        <v>105534050</v>
      </c>
      <c r="E18" s="542">
        <f t="shared" si="1"/>
        <v>54667430</v>
      </c>
      <c r="F18" s="603">
        <f>'[1]Дотация  из  ОБ_факт'!M14</f>
        <v>51394800</v>
      </c>
      <c r="G18" s="1551">
        <v>28322400</v>
      </c>
      <c r="H18" s="1556">
        <f>'[1]Дотация  из  ОБ_факт'!G14</f>
        <v>33096000</v>
      </c>
      <c r="I18" s="1551">
        <v>17127472</v>
      </c>
      <c r="J18" s="604">
        <f t="shared" si="2"/>
        <v>33096000</v>
      </c>
      <c r="K18" s="611">
        <f t="shared" si="3"/>
        <v>17127472</v>
      </c>
      <c r="L18" s="891">
        <f>'[1]Дотация  из  ОБ_факт'!K14</f>
        <v>0</v>
      </c>
      <c r="M18" s="782"/>
      <c r="N18" s="603">
        <f>'[1]Дотация  из  ОБ_факт'!Q14</f>
        <v>867000</v>
      </c>
      <c r="O18" s="1054">
        <v>867000</v>
      </c>
      <c r="P18" s="603">
        <f>'[1]Дотация  из  ОБ_факт'!S14</f>
        <v>18435000</v>
      </c>
      <c r="Q18" s="1048">
        <v>6609308</v>
      </c>
      <c r="R18" s="611">
        <f t="shared" si="4"/>
        <v>18435000</v>
      </c>
      <c r="S18" s="605">
        <f t="shared" si="5"/>
        <v>6609308</v>
      </c>
      <c r="T18" s="891">
        <f>'[1]Дотация  из  ОБ_факт'!W14</f>
        <v>0</v>
      </c>
      <c r="U18" s="643"/>
      <c r="V18" s="603">
        <f>'[1]Дотация  из  ОБ_факт'!AA14+'[1]Дотация  из  ОБ_факт'!AC14+'[1]Дотация  из  ОБ_факт'!AG14</f>
        <v>700000</v>
      </c>
      <c r="W18" s="465">
        <f t="shared" si="6"/>
        <v>700000</v>
      </c>
      <c r="X18" s="607"/>
      <c r="Y18" s="606">
        <v>700000</v>
      </c>
      <c r="Z18" s="607"/>
      <c r="AA18" s="603">
        <f>'[1]Дотация  из  ОБ_факт'!Y14+'[1]Дотация  из  ОБ_факт'!AE14</f>
        <v>1041250</v>
      </c>
      <c r="AB18" s="170">
        <f t="shared" si="7"/>
        <v>1041250</v>
      </c>
      <c r="AC18" s="606">
        <v>1041250</v>
      </c>
      <c r="AD18" s="607"/>
      <c r="AE18" s="604">
        <f t="shared" si="8"/>
        <v>1041250</v>
      </c>
      <c r="AF18" s="611">
        <f t="shared" si="9"/>
        <v>1041250</v>
      </c>
      <c r="AG18" s="604">
        <f>'[1]Дотация  из  ОБ_факт'!AE14</f>
        <v>0</v>
      </c>
      <c r="AH18" s="772"/>
      <c r="AI18" s="599">
        <f>'План и исполнение'!LQ18+'План и исполнение'!QS18+'План и исполнение'!QU18+CQ18+CS18+CY18+DA18+BS18+CA18+'План и исполнение'!JQ18+'План и исполнение'!KA18+'План и исполнение'!EC18+'План и исполнение'!LE18+DM18+'План и исполнение'!IM18+'План и исполнение'!IS18+'План и исполнение'!MM18+'План и исполнение'!MU18+IG18+'План и исполнение'!MA18+FK18+EY18+PO18+ES18+AK18+AU18+FE18+JK18+GG18+GQ18+DG18+PU18+FQ18+EI18+QA18+NY18+GA18+CM18+HU18+IA18+NS18</f>
        <v>177586823.96000001</v>
      </c>
      <c r="AJ18" s="504">
        <f>'План и исполнение'!LV18+'План и исполнение'!QT18+'План и исполнение'!QV18+CR18+CT18+CZ18+DB18+BW18+CE18+'План и исполнение'!JV18+'План и исполнение'!KF18+'План и исполнение'!EF18+'План и исполнение'!LK18+DU18+'План и исполнение'!IP18+'План и исполнение'!IV18+'План и исполнение'!MQ18+'План и исполнение'!MY18+IJ18+'План и исполнение'!ME18+FH18+FN18+FB18+PR18+EV18+AP18+AY18+JN18+GL18+GV18+DJ18+PX18+FT18+EN18+QD18+OF18+GD18+CO18+HX18+ID18+NV18</f>
        <v>38947880.870000005</v>
      </c>
      <c r="AK18" s="504">
        <f t="shared" si="10"/>
        <v>10818315</v>
      </c>
      <c r="AL18" s="343">
        <f>[1]Субсидия_факт!DB16</f>
        <v>0</v>
      </c>
      <c r="AM18" s="516">
        <f>[1]Субсидия_факт!FF16</f>
        <v>10818315</v>
      </c>
      <c r="AN18" s="514">
        <f>[1]Субсидия_факт!FR16</f>
        <v>0</v>
      </c>
      <c r="AO18" s="516">
        <f>[1]Субсидия_факт!MZ16</f>
        <v>0</v>
      </c>
      <c r="AP18" s="504">
        <f t="shared" si="11"/>
        <v>0</v>
      </c>
      <c r="AQ18" s="479"/>
      <c r="AR18" s="479"/>
      <c r="AS18" s="479"/>
      <c r="AT18" s="479"/>
      <c r="AU18" s="504">
        <f t="shared" si="12"/>
        <v>0</v>
      </c>
      <c r="AV18" s="469">
        <f>[1]Субсидия_факт!DD16</f>
        <v>0</v>
      </c>
      <c r="AW18" s="343">
        <f>[1]Субсидия_факт!FJ16</f>
        <v>0</v>
      </c>
      <c r="AX18" s="514">
        <f>[1]Субсидия_факт!NB16</f>
        <v>0</v>
      </c>
      <c r="AY18" s="504">
        <f t="shared" si="13"/>
        <v>0</v>
      </c>
      <c r="AZ18" s="547"/>
      <c r="BA18" s="547"/>
      <c r="BB18" s="548"/>
      <c r="BC18" s="697">
        <f t="shared" si="14"/>
        <v>0</v>
      </c>
      <c r="BD18" s="680">
        <f t="shared" si="15"/>
        <v>0</v>
      </c>
      <c r="BE18" s="469">
        <f t="shared" si="16"/>
        <v>0</v>
      </c>
      <c r="BF18" s="343">
        <f t="shared" si="17"/>
        <v>0</v>
      </c>
      <c r="BG18" s="697">
        <f t="shared" si="18"/>
        <v>0</v>
      </c>
      <c r="BH18" s="647">
        <f t="shared" si="19"/>
        <v>0</v>
      </c>
      <c r="BI18" s="514">
        <f t="shared" si="20"/>
        <v>0</v>
      </c>
      <c r="BJ18" s="343">
        <f t="shared" si="21"/>
        <v>0</v>
      </c>
      <c r="BK18" s="697">
        <f t="shared" si="22"/>
        <v>0</v>
      </c>
      <c r="BL18" s="469">
        <f>[1]Субсидия_факт!DF16</f>
        <v>0</v>
      </c>
      <c r="BM18" s="343">
        <f>[1]Субсидия_факт!FL16</f>
        <v>0</v>
      </c>
      <c r="BN18" s="469">
        <f>[1]Субсидия_факт!ND16</f>
        <v>0</v>
      </c>
      <c r="BO18" s="697">
        <f t="shared" si="23"/>
        <v>0</v>
      </c>
      <c r="BP18" s="548"/>
      <c r="BQ18" s="547"/>
      <c r="BR18" s="548"/>
      <c r="BS18" s="535">
        <f t="shared" si="145"/>
        <v>32304071</v>
      </c>
      <c r="BT18" s="449">
        <f>[1]Субсидия_факт!IL16</f>
        <v>0</v>
      </c>
      <c r="BU18" s="343">
        <f>[1]Субсидия_факт!IR16</f>
        <v>32304071</v>
      </c>
      <c r="BV18" s="529">
        <f>[1]Субсидия_факт!JD16</f>
        <v>0</v>
      </c>
      <c r="BW18" s="535">
        <f t="shared" si="146"/>
        <v>2464551.02</v>
      </c>
      <c r="BX18" s="547"/>
      <c r="BY18" s="547">
        <v>2464551.02</v>
      </c>
      <c r="BZ18" s="650"/>
      <c r="CA18" s="535">
        <f t="shared" si="147"/>
        <v>0</v>
      </c>
      <c r="CB18" s="469">
        <f>[1]Субсидия_факт!IN16</f>
        <v>0</v>
      </c>
      <c r="CC18" s="343">
        <f>[1]Субсидия_факт!IT16</f>
        <v>0</v>
      </c>
      <c r="CD18" s="529">
        <f>[1]Субсидия_факт!JF16</f>
        <v>0</v>
      </c>
      <c r="CE18" s="535">
        <f t="shared" si="148"/>
        <v>0</v>
      </c>
      <c r="CF18" s="547"/>
      <c r="CG18" s="548"/>
      <c r="CH18" s="760"/>
      <c r="CI18" s="546">
        <f t="shared" si="24"/>
        <v>0</v>
      </c>
      <c r="CJ18" s="544">
        <f t="shared" si="25"/>
        <v>0</v>
      </c>
      <c r="CK18" s="543">
        <f t="shared" si="149"/>
        <v>0</v>
      </c>
      <c r="CL18" s="546">
        <f t="shared" si="150"/>
        <v>0</v>
      </c>
      <c r="CM18" s="965">
        <f t="shared" si="151"/>
        <v>0</v>
      </c>
      <c r="CN18" s="721">
        <f>[1]Субсидия_факт!FT16</f>
        <v>0</v>
      </c>
      <c r="CO18" s="965">
        <f t="shared" si="151"/>
        <v>0</v>
      </c>
      <c r="CP18" s="721"/>
      <c r="CQ18" s="534">
        <f>[1]Субсидия_факт!FV16</f>
        <v>35043774.009999998</v>
      </c>
      <c r="CR18" s="644">
        <f>9879086.09+2113487.04</f>
        <v>11992573.129999999</v>
      </c>
      <c r="CS18" s="535">
        <f>[1]Субсидия_факт!FX16</f>
        <v>0</v>
      </c>
      <c r="CT18" s="644"/>
      <c r="CU18" s="544">
        <f t="shared" si="26"/>
        <v>0</v>
      </c>
      <c r="CV18" s="543">
        <f t="shared" si="27"/>
        <v>0</v>
      </c>
      <c r="CW18" s="610">
        <f>[1]Субсидия_факт!FZ16</f>
        <v>0</v>
      </c>
      <c r="CX18" s="643"/>
      <c r="CY18" s="542">
        <f>[1]Субсидия_факт!GB16</f>
        <v>12856597.6</v>
      </c>
      <c r="CZ18" s="341">
        <f>3823608.43+111236.16</f>
        <v>3934844.5900000003</v>
      </c>
      <c r="DA18" s="534">
        <f>[1]Субсидия_факт!GD16</f>
        <v>0</v>
      </c>
      <c r="DB18" s="644"/>
      <c r="DC18" s="544">
        <f t="shared" si="28"/>
        <v>0</v>
      </c>
      <c r="DD18" s="544">
        <f t="shared" si="29"/>
        <v>0</v>
      </c>
      <c r="DE18" s="691">
        <f>[1]Субсидия_факт!GF16</f>
        <v>0</v>
      </c>
      <c r="DF18" s="342"/>
      <c r="DG18" s="504">
        <f t="shared" si="30"/>
        <v>0</v>
      </c>
      <c r="DH18" s="529">
        <f>[1]Субсидия_факт!EV16</f>
        <v>0</v>
      </c>
      <c r="DI18" s="896">
        <f>[1]Субсидия_факт!EX16</f>
        <v>0</v>
      </c>
      <c r="DJ18" s="471">
        <f t="shared" si="31"/>
        <v>0</v>
      </c>
      <c r="DK18" s="809"/>
      <c r="DL18" s="1083"/>
      <c r="DM18" s="542">
        <f t="shared" si="32"/>
        <v>0</v>
      </c>
      <c r="DN18" s="541">
        <f>[1]Субсидия_факт!R16</f>
        <v>0</v>
      </c>
      <c r="DO18" s="1210">
        <f>[1]Субсидия_факт!T16</f>
        <v>0</v>
      </c>
      <c r="DP18" s="713">
        <f>[1]Субсидия_факт!V16</f>
        <v>0</v>
      </c>
      <c r="DQ18" s="673">
        <f>[1]Субсидия_факт!X16</f>
        <v>0</v>
      </c>
      <c r="DR18" s="814">
        <f>[1]Субсидия_факт!Z16</f>
        <v>0</v>
      </c>
      <c r="DS18" s="516">
        <f>[1]Субсидия_факт!AB16</f>
        <v>0</v>
      </c>
      <c r="DT18" s="673">
        <f>[1]Субсидия_факт!AD16</f>
        <v>0</v>
      </c>
      <c r="DU18" s="535">
        <f t="shared" si="33"/>
        <v>0</v>
      </c>
      <c r="DV18" s="548"/>
      <c r="DW18" s="547"/>
      <c r="DX18" s="717"/>
      <c r="DY18" s="547"/>
      <c r="DZ18" s="717"/>
      <c r="EA18" s="548"/>
      <c r="EB18" s="1210">
        <f t="shared" si="214"/>
        <v>0</v>
      </c>
      <c r="EC18" s="504">
        <f t="shared" si="34"/>
        <v>0</v>
      </c>
      <c r="ED18" s="529">
        <f>[1]Субсидия_факт!BN16</f>
        <v>0</v>
      </c>
      <c r="EE18" s="896">
        <f>[1]Субсидия_факт!BP16</f>
        <v>0</v>
      </c>
      <c r="EF18" s="471">
        <f t="shared" si="35"/>
        <v>0</v>
      </c>
      <c r="EG18" s="809"/>
      <c r="EH18" s="1083"/>
      <c r="EI18" s="542">
        <f t="shared" si="152"/>
        <v>2980082.36</v>
      </c>
      <c r="EJ18" s="469">
        <f>[1]Субсидия_факт!AJ16</f>
        <v>120407.36</v>
      </c>
      <c r="EK18" s="721">
        <f>[1]Субсидия_факт!AL16</f>
        <v>2859675</v>
      </c>
      <c r="EL18" s="449">
        <f>[1]Субсидия_факт!AN16</f>
        <v>0</v>
      </c>
      <c r="EM18" s="721">
        <f>[1]Субсидия_факт!AP16</f>
        <v>0</v>
      </c>
      <c r="EN18" s="535">
        <f t="shared" si="153"/>
        <v>1916661.06</v>
      </c>
      <c r="EO18" s="479">
        <v>77440.850000000006</v>
      </c>
      <c r="EP18" s="717">
        <v>1839220.21</v>
      </c>
      <c r="EQ18" s="479"/>
      <c r="ER18" s="717"/>
      <c r="ES18" s="504">
        <f t="shared" si="36"/>
        <v>0</v>
      </c>
      <c r="ET18" s="529">
        <f>[1]Субсидия_факт!AX16</f>
        <v>0</v>
      </c>
      <c r="EU18" s="789">
        <f>[1]Субсидия_факт!AZ16</f>
        <v>0</v>
      </c>
      <c r="EV18" s="471">
        <f t="shared" si="37"/>
        <v>0</v>
      </c>
      <c r="EW18" s="809"/>
      <c r="EX18" s="708"/>
      <c r="EY18" s="504">
        <f t="shared" si="38"/>
        <v>0</v>
      </c>
      <c r="EZ18" s="529">
        <f>[1]Субсидия_факт!BZ16</f>
        <v>0</v>
      </c>
      <c r="FA18" s="896">
        <f>[1]Субсидия_факт!CB16</f>
        <v>0</v>
      </c>
      <c r="FB18" s="471">
        <f t="shared" si="39"/>
        <v>0</v>
      </c>
      <c r="FC18" s="809"/>
      <c r="FD18" s="708"/>
      <c r="FE18" s="504">
        <f t="shared" si="40"/>
        <v>0</v>
      </c>
      <c r="FF18" s="529">
        <f>[1]Субсидия_факт!BR16</f>
        <v>0</v>
      </c>
      <c r="FG18" s="896">
        <f>[1]Субсидия_факт!BT16</f>
        <v>0</v>
      </c>
      <c r="FH18" s="471">
        <f t="shared" si="41"/>
        <v>0</v>
      </c>
      <c r="FI18" s="809"/>
      <c r="FJ18" s="708"/>
      <c r="FK18" s="504">
        <f t="shared" si="42"/>
        <v>0</v>
      </c>
      <c r="FL18" s="529">
        <f>[1]Субсидия_факт!KJ16</f>
        <v>0</v>
      </c>
      <c r="FM18" s="896">
        <f>[1]Субсидия_факт!KL16</f>
        <v>0</v>
      </c>
      <c r="FN18" s="471">
        <f t="shared" si="43"/>
        <v>0</v>
      </c>
      <c r="FO18" s="809"/>
      <c r="FP18" s="708"/>
      <c r="FQ18" s="504">
        <f t="shared" si="44"/>
        <v>0</v>
      </c>
      <c r="FR18" s="529">
        <f>[1]Субсидия_факт!KN16</f>
        <v>0</v>
      </c>
      <c r="FS18" s="896">
        <f>[1]Субсидия_факт!KR16</f>
        <v>0</v>
      </c>
      <c r="FT18" s="471">
        <f t="shared" si="45"/>
        <v>0</v>
      </c>
      <c r="FU18" s="809"/>
      <c r="FV18" s="708"/>
      <c r="FW18" s="695">
        <f t="shared" si="154"/>
        <v>0</v>
      </c>
      <c r="FX18" s="697">
        <f t="shared" si="155"/>
        <v>0</v>
      </c>
      <c r="FY18" s="695">
        <f t="shared" si="156"/>
        <v>0</v>
      </c>
      <c r="FZ18" s="697">
        <f t="shared" si="157"/>
        <v>0</v>
      </c>
      <c r="GA18" s="504">
        <f t="shared" si="158"/>
        <v>23112222.219999999</v>
      </c>
      <c r="GB18" s="1374">
        <f>[1]Субсидия_факт!BJ16</f>
        <v>6471422.2199999997</v>
      </c>
      <c r="GC18" s="706">
        <f>[1]Субсидия_факт!BL16</f>
        <v>16640800</v>
      </c>
      <c r="GD18" s="504">
        <f t="shared" si="159"/>
        <v>0</v>
      </c>
      <c r="GE18" s="760"/>
      <c r="GF18" s="708"/>
      <c r="GG18" s="504">
        <f t="shared" si="46"/>
        <v>0</v>
      </c>
      <c r="GH18" s="760"/>
      <c r="GI18" s="708"/>
      <c r="GJ18" s="529"/>
      <c r="GK18" s="896"/>
      <c r="GL18" s="471">
        <f t="shared" si="47"/>
        <v>0</v>
      </c>
      <c r="GM18" s="760"/>
      <c r="GN18" s="708"/>
      <c r="GO18" s="760"/>
      <c r="GP18" s="708"/>
      <c r="GQ18" s="471">
        <f t="shared" si="160"/>
        <v>2281092.5300000003</v>
      </c>
      <c r="GR18" s="1374">
        <f>[1]Субсидия_факт!GJ16</f>
        <v>0</v>
      </c>
      <c r="GS18" s="706">
        <f>[1]Субсидия_факт!GN16</f>
        <v>0</v>
      </c>
      <c r="GT18" s="529">
        <f>[1]Субсидия_факт!GX16</f>
        <v>1338817.0900000001</v>
      </c>
      <c r="GU18" s="896">
        <f>[1]Субсидия_факт!HB16</f>
        <v>942275.44</v>
      </c>
      <c r="GV18" s="471">
        <f t="shared" si="161"/>
        <v>1111680.45</v>
      </c>
      <c r="GW18" s="760"/>
      <c r="GX18" s="708"/>
      <c r="GY18" s="760">
        <v>652466.64</v>
      </c>
      <c r="GZ18" s="708">
        <v>459213.81</v>
      </c>
      <c r="HA18" s="695">
        <f t="shared" si="162"/>
        <v>2281092.5300000003</v>
      </c>
      <c r="HB18" s="1374">
        <f t="shared" si="48"/>
        <v>0</v>
      </c>
      <c r="HC18" s="1375">
        <f t="shared" si="49"/>
        <v>0</v>
      </c>
      <c r="HD18" s="529">
        <f t="shared" si="50"/>
        <v>1338817.0900000001</v>
      </c>
      <c r="HE18" s="896">
        <f t="shared" si="51"/>
        <v>942275.44</v>
      </c>
      <c r="HF18" s="695">
        <f t="shared" si="163"/>
        <v>1111680.45</v>
      </c>
      <c r="HG18" s="1374">
        <f t="shared" si="52"/>
        <v>0</v>
      </c>
      <c r="HH18" s="1375">
        <f t="shared" si="53"/>
        <v>0</v>
      </c>
      <c r="HI18" s="529">
        <f t="shared" si="54"/>
        <v>652466.64</v>
      </c>
      <c r="HJ18" s="896">
        <f t="shared" si="55"/>
        <v>459213.81</v>
      </c>
      <c r="HK18" s="695">
        <f t="shared" si="164"/>
        <v>0</v>
      </c>
      <c r="HL18" s="1374">
        <f>[1]Субсидия_факт!GL16</f>
        <v>0</v>
      </c>
      <c r="HM18" s="706">
        <f>[1]Субсидия_факт!GP16</f>
        <v>0</v>
      </c>
      <c r="HN18" s="529">
        <f>[1]Субсидия_факт!GZ16</f>
        <v>0</v>
      </c>
      <c r="HO18" s="896">
        <f>[1]Субсидия_факт!HD16</f>
        <v>0</v>
      </c>
      <c r="HP18" s="695">
        <f t="shared" si="165"/>
        <v>0</v>
      </c>
      <c r="HQ18" s="760"/>
      <c r="HR18" s="708"/>
      <c r="HS18" s="760"/>
      <c r="HT18" s="708"/>
      <c r="HU18" s="542">
        <f t="shared" si="56"/>
        <v>0</v>
      </c>
      <c r="HV18" s="531">
        <f>[1]Субсидия_факт!N16</f>
        <v>0</v>
      </c>
      <c r="HW18" s="789">
        <f>[1]Субсидия_факт!P16</f>
        <v>0</v>
      </c>
      <c r="HX18" s="535">
        <f t="shared" si="57"/>
        <v>0</v>
      </c>
      <c r="HY18" s="547"/>
      <c r="HZ18" s="739"/>
      <c r="IA18" s="542">
        <f t="shared" si="58"/>
        <v>0</v>
      </c>
      <c r="IB18" s="541">
        <f>[1]Субсидия_факт!DZ16</f>
        <v>0</v>
      </c>
      <c r="IC18" s="721">
        <f>[1]Субсидия_факт!EB16</f>
        <v>0</v>
      </c>
      <c r="ID18" s="534">
        <f t="shared" si="59"/>
        <v>0</v>
      </c>
      <c r="IE18" s="547"/>
      <c r="IF18" s="739"/>
      <c r="IG18" s="542">
        <f t="shared" si="166"/>
        <v>0</v>
      </c>
      <c r="IH18" s="531">
        <f>[1]Субсидия_факт!EP16</f>
        <v>0</v>
      </c>
      <c r="II18" s="789">
        <f>[1]Субсидия_факт!ER16</f>
        <v>0</v>
      </c>
      <c r="IJ18" s="535">
        <f t="shared" si="167"/>
        <v>0</v>
      </c>
      <c r="IK18" s="547"/>
      <c r="IL18" s="739"/>
      <c r="IM18" s="599">
        <f t="shared" si="62"/>
        <v>996819.8</v>
      </c>
      <c r="IN18" s="529">
        <f>[1]Субсидия_факт!ED16</f>
        <v>279110.90999999997</v>
      </c>
      <c r="IO18" s="896">
        <f>[1]Субсидия_факт!EJ16</f>
        <v>717708.89</v>
      </c>
      <c r="IP18" s="471">
        <f t="shared" si="63"/>
        <v>887089.79</v>
      </c>
      <c r="IQ18" s="760">
        <v>248386.36</v>
      </c>
      <c r="IR18" s="708">
        <v>638703.43000000005</v>
      </c>
      <c r="IS18" s="471">
        <f t="shared" si="64"/>
        <v>1428775.0499999998</v>
      </c>
      <c r="IT18" s="529">
        <f>[1]Субсидия_факт!EF16</f>
        <v>400058.98</v>
      </c>
      <c r="IU18" s="789">
        <f>[1]Субсидия_факт!EL16</f>
        <v>1028716.07</v>
      </c>
      <c r="IV18" s="471">
        <f t="shared" si="65"/>
        <v>928703.48</v>
      </c>
      <c r="IW18" s="650">
        <v>260038.25</v>
      </c>
      <c r="IX18" s="742">
        <v>668665.23</v>
      </c>
      <c r="IY18" s="697">
        <f t="shared" si="66"/>
        <v>1428775.0499999998</v>
      </c>
      <c r="IZ18" s="787">
        <f>'План и исполнение'!IT18-'План и исполнение'!JF18</f>
        <v>400058.98</v>
      </c>
      <c r="JA18" s="706">
        <f>'План и исполнение'!IU18-'План и исполнение'!JG18</f>
        <v>1028716.07</v>
      </c>
      <c r="JB18" s="691">
        <f t="shared" si="67"/>
        <v>928703.48</v>
      </c>
      <c r="JC18" s="793">
        <f>'План и исполнение'!IW18-'План и исполнение'!JI18</f>
        <v>260038.25</v>
      </c>
      <c r="JD18" s="804">
        <f>'План и исполнение'!IX18-'План и исполнение'!JJ18</f>
        <v>668665.23</v>
      </c>
      <c r="JE18" s="697">
        <f t="shared" si="68"/>
        <v>0</v>
      </c>
      <c r="JF18" s="529">
        <f>[1]Субсидия_факт!EH16</f>
        <v>0</v>
      </c>
      <c r="JG18" s="896">
        <f>[1]Субсидия_факт!EN16</f>
        <v>0</v>
      </c>
      <c r="JH18" s="697">
        <f t="shared" si="69"/>
        <v>0</v>
      </c>
      <c r="JI18" s="529"/>
      <c r="JJ18" s="789"/>
      <c r="JK18" s="471">
        <f t="shared" si="70"/>
        <v>0</v>
      </c>
      <c r="JL18" s="793">
        <f>[1]Субсидия_факт!AR16</f>
        <v>0</v>
      </c>
      <c r="JM18" s="706">
        <f>[1]Субсидия_факт!AT16</f>
        <v>0</v>
      </c>
      <c r="JN18" s="471">
        <f t="shared" si="71"/>
        <v>0</v>
      </c>
      <c r="JO18" s="650"/>
      <c r="JP18" s="708"/>
      <c r="JQ18" s="785">
        <f t="shared" si="72"/>
        <v>9784.93</v>
      </c>
      <c r="JR18" s="793">
        <f>[1]Субсидия_факт!CJ16</f>
        <v>0</v>
      </c>
      <c r="JS18" s="706">
        <f>[1]Субсидия_факт!CP16</f>
        <v>0</v>
      </c>
      <c r="JT18" s="529">
        <f>[1]Субсидия_факт!DN16</f>
        <v>4576.67</v>
      </c>
      <c r="JU18" s="896">
        <f>[1]Субсидия_факт!DT16</f>
        <v>5208.26</v>
      </c>
      <c r="JV18" s="471">
        <f t="shared" si="73"/>
        <v>0</v>
      </c>
      <c r="JW18" s="650"/>
      <c r="JX18" s="708"/>
      <c r="JY18" s="650"/>
      <c r="JZ18" s="892"/>
      <c r="KA18" s="785">
        <f t="shared" si="74"/>
        <v>0</v>
      </c>
      <c r="KB18" s="793">
        <f>[1]Субсидия_факт!CL16</f>
        <v>0</v>
      </c>
      <c r="KC18" s="706">
        <f>[1]Субсидия_факт!CR16</f>
        <v>0</v>
      </c>
      <c r="KD18" s="529">
        <f>[1]Субсидия_факт!DP16</f>
        <v>0</v>
      </c>
      <c r="KE18" s="896">
        <f>[1]Субсидия_факт!DV16</f>
        <v>0</v>
      </c>
      <c r="KF18" s="471">
        <f t="shared" si="75"/>
        <v>0</v>
      </c>
      <c r="KG18" s="650"/>
      <c r="KH18" s="708"/>
      <c r="KI18" s="809"/>
      <c r="KJ18" s="708"/>
      <c r="KK18" s="788">
        <f t="shared" si="76"/>
        <v>0</v>
      </c>
      <c r="KL18" s="793">
        <f>'План и исполнение'!KB18-KV18</f>
        <v>0</v>
      </c>
      <c r="KM18" s="706">
        <f>'План и исполнение'!KC18-KW18</f>
        <v>0</v>
      </c>
      <c r="KN18" s="787">
        <f>'План и исполнение'!KD18-KX18</f>
        <v>0</v>
      </c>
      <c r="KO18" s="706">
        <f>'План и исполнение'!KE18-KY18</f>
        <v>0</v>
      </c>
      <c r="KP18" s="788">
        <f t="shared" si="77"/>
        <v>0</v>
      </c>
      <c r="KQ18" s="793">
        <f>'План и исполнение'!KG18-LA18</f>
        <v>0</v>
      </c>
      <c r="KR18" s="830">
        <f>'План и исполнение'!KH18-LB18</f>
        <v>0</v>
      </c>
      <c r="KS18" s="793">
        <f>'План и исполнение'!KI18-LC18</f>
        <v>0</v>
      </c>
      <c r="KT18" s="804">
        <f>'План и исполнение'!KJ18-LD18</f>
        <v>0</v>
      </c>
      <c r="KU18" s="697">
        <f t="shared" si="78"/>
        <v>0</v>
      </c>
      <c r="KV18" s="793">
        <f>[1]Субсидия_факт!CN16</f>
        <v>0</v>
      </c>
      <c r="KW18" s="706">
        <f>[1]Субсидия_факт!CT16</f>
        <v>0</v>
      </c>
      <c r="KX18" s="529">
        <f>[1]Субсидия_факт!DR16</f>
        <v>0</v>
      </c>
      <c r="KY18" s="896">
        <f>[1]Субсидия_факт!DX16</f>
        <v>0</v>
      </c>
      <c r="KZ18" s="697">
        <f t="shared" si="79"/>
        <v>0</v>
      </c>
      <c r="LA18" s="650"/>
      <c r="LB18" s="708"/>
      <c r="LC18" s="531"/>
      <c r="LD18" s="1639"/>
      <c r="LE18" s="504">
        <f t="shared" si="168"/>
        <v>0</v>
      </c>
      <c r="LF18" s="529">
        <f>[1]Субсидия_факт!CD16</f>
        <v>0</v>
      </c>
      <c r="LG18" s="789">
        <f>[1]Субсидия_факт!CF16</f>
        <v>0</v>
      </c>
      <c r="LH18" s="529">
        <f>[1]Субсидия_факт!BV16</f>
        <v>0</v>
      </c>
      <c r="LI18" s="789">
        <f>[1]Субсидия_факт!BX16</f>
        <v>0</v>
      </c>
      <c r="LJ18" s="529">
        <f>[1]Субсидия_факт!CH16</f>
        <v>0</v>
      </c>
      <c r="LK18" s="471">
        <f t="shared" si="169"/>
        <v>0</v>
      </c>
      <c r="LL18" s="650"/>
      <c r="LM18" s="708"/>
      <c r="LN18" s="650"/>
      <c r="LO18" s="708"/>
      <c r="LP18" s="650"/>
      <c r="LQ18" s="504">
        <f t="shared" si="80"/>
        <v>0</v>
      </c>
      <c r="LR18" s="516">
        <f>[1]Субсидия_факт!HN16</f>
        <v>0</v>
      </c>
      <c r="LS18" s="529">
        <f>[1]Субсидия_факт!HL16</f>
        <v>0</v>
      </c>
      <c r="LT18" s="541">
        <f>[1]Субсидия_факт!HV16</f>
        <v>0</v>
      </c>
      <c r="LU18" s="721">
        <f>[1]Субсидия_факт!HX16</f>
        <v>0</v>
      </c>
      <c r="LV18" s="471">
        <f t="shared" si="81"/>
        <v>0</v>
      </c>
      <c r="LW18" s="344"/>
      <c r="LX18" s="650"/>
      <c r="LY18" s="479"/>
      <c r="LZ18" s="717"/>
      <c r="MA18" s="471">
        <f t="shared" si="82"/>
        <v>0</v>
      </c>
      <c r="MB18" s="531">
        <f>[1]Субсидия_факт!HT16</f>
        <v>0</v>
      </c>
      <c r="MC18" s="531">
        <f>[1]Субсидия_факт!HP16</f>
        <v>0</v>
      </c>
      <c r="MD18" s="789">
        <f>[1]Субсидия_факт!HR16</f>
        <v>0</v>
      </c>
      <c r="ME18" s="471">
        <f t="shared" si="83"/>
        <v>0</v>
      </c>
      <c r="MF18" s="793">
        <f t="shared" si="170"/>
        <v>0</v>
      </c>
      <c r="MG18" s="650"/>
      <c r="MH18" s="708"/>
      <c r="MI18" s="893">
        <f t="shared" si="84"/>
        <v>0</v>
      </c>
      <c r="MJ18" s="893">
        <f t="shared" si="85"/>
        <v>0</v>
      </c>
      <c r="MK18" s="695">
        <f t="shared" si="86"/>
        <v>0</v>
      </c>
      <c r="ML18" s="1028">
        <f t="shared" si="87"/>
        <v>0</v>
      </c>
      <c r="MM18" s="791">
        <f t="shared" si="216"/>
        <v>0</v>
      </c>
      <c r="MN18" s="529">
        <f>[1]Субсидия_факт!LH16</f>
        <v>0</v>
      </c>
      <c r="MO18" s="896">
        <f>[1]Субсидия_факт!LN16</f>
        <v>0</v>
      </c>
      <c r="MP18" s="531"/>
      <c r="MQ18" s="791">
        <f t="shared" si="171"/>
        <v>0</v>
      </c>
      <c r="MR18" s="809"/>
      <c r="MS18" s="708"/>
      <c r="MT18" s="531"/>
      <c r="MU18" s="791">
        <f t="shared" si="172"/>
        <v>5705000</v>
      </c>
      <c r="MV18" s="529">
        <f>[1]Субсидия_факт!LJ16</f>
        <v>0</v>
      </c>
      <c r="MW18" s="896">
        <f>[1]Субсидия_факт!LP16</f>
        <v>0</v>
      </c>
      <c r="MX18" s="531">
        <f>[1]Субсидия_факт!LT16</f>
        <v>5705000</v>
      </c>
      <c r="MY18" s="791">
        <f t="shared" si="173"/>
        <v>5609449.5700000003</v>
      </c>
      <c r="MZ18" s="650"/>
      <c r="NA18" s="808"/>
      <c r="NB18" s="650">
        <v>5609449.5700000003</v>
      </c>
      <c r="NC18" s="792">
        <f t="shared" si="175"/>
        <v>5705000</v>
      </c>
      <c r="ND18" s="680">
        <f>'План и исполнение'!MV18-NL18</f>
        <v>0</v>
      </c>
      <c r="NE18" s="713">
        <f>'План и исполнение'!MW18-NM18</f>
        <v>0</v>
      </c>
      <c r="NF18" s="647">
        <f>'План и исполнение'!MX18-NN18</f>
        <v>5705000</v>
      </c>
      <c r="NG18" s="792">
        <f t="shared" si="176"/>
        <v>5609449.5700000003</v>
      </c>
      <c r="NH18" s="787">
        <f>'План и исполнение'!MZ18-NP18</f>
        <v>0</v>
      </c>
      <c r="NI18" s="706">
        <f>'План и исполнение'!NA18-NQ18</f>
        <v>0</v>
      </c>
      <c r="NJ18" s="793">
        <f>'План и исполнение'!NB18-NR18</f>
        <v>5609449.5700000003</v>
      </c>
      <c r="NK18" s="792">
        <f t="shared" si="177"/>
        <v>0</v>
      </c>
      <c r="NL18" s="529">
        <f>[1]Субсидия_факт!LL16</f>
        <v>0</v>
      </c>
      <c r="NM18" s="896">
        <f>[1]Субсидия_факт!LR16</f>
        <v>0</v>
      </c>
      <c r="NN18" s="529">
        <f>[1]Субсидия_факт!LV16</f>
        <v>0</v>
      </c>
      <c r="NO18" s="792">
        <f t="shared" si="178"/>
        <v>0</v>
      </c>
      <c r="NP18" s="787">
        <f t="shared" si="179"/>
        <v>0</v>
      </c>
      <c r="NQ18" s="706">
        <f t="shared" si="180"/>
        <v>0</v>
      </c>
      <c r="NR18" s="529">
        <f t="shared" si="215"/>
        <v>0</v>
      </c>
      <c r="NS18" s="535">
        <f t="shared" si="181"/>
        <v>0</v>
      </c>
      <c r="NT18" s="1285">
        <f>[1]Субсидия_факт!NF16</f>
        <v>0</v>
      </c>
      <c r="NU18" s="713">
        <f>[1]Субсидия_факт!NH16</f>
        <v>0</v>
      </c>
      <c r="NV18" s="535">
        <f t="shared" si="182"/>
        <v>0</v>
      </c>
      <c r="NW18" s="344"/>
      <c r="NX18" s="739"/>
      <c r="NY18" s="535">
        <f t="shared" si="183"/>
        <v>11984908.809999999</v>
      </c>
      <c r="NZ18" s="1194">
        <f>[1]Субсидия_факт!LX16</f>
        <v>0</v>
      </c>
      <c r="OA18" s="1295">
        <f>[1]Субсидия_факт!MB16</f>
        <v>0</v>
      </c>
      <c r="OB18" s="1194">
        <f>[1]Субсидия_факт!MF16</f>
        <v>3355774.46</v>
      </c>
      <c r="OC18" s="713">
        <f>[1]Субсидия_факт!MJ16</f>
        <v>8629134.3499999996</v>
      </c>
      <c r="OD18" s="1285">
        <f>[1]Субсидия_факт!NJ16</f>
        <v>0</v>
      </c>
      <c r="OE18" s="713">
        <f>[1]Субсидия_факт!NN16</f>
        <v>0</v>
      </c>
      <c r="OF18" s="535">
        <f t="shared" si="184"/>
        <v>971462.71</v>
      </c>
      <c r="OG18" s="493"/>
      <c r="OH18" s="746"/>
      <c r="OI18" s="344">
        <f>94870.52+177139.04</f>
        <v>272009.56</v>
      </c>
      <c r="OJ18" s="739">
        <v>699453.15</v>
      </c>
      <c r="OK18" s="493"/>
      <c r="OL18" s="746"/>
      <c r="OM18" s="610">
        <f t="shared" si="185"/>
        <v>11984908.809999999</v>
      </c>
      <c r="ON18" s="1194">
        <f t="shared" si="88"/>
        <v>0</v>
      </c>
      <c r="OO18" s="713">
        <f t="shared" si="89"/>
        <v>0</v>
      </c>
      <c r="OP18" s="493">
        <f t="shared" si="90"/>
        <v>3355774.46</v>
      </c>
      <c r="OQ18" s="713">
        <f t="shared" si="91"/>
        <v>8629134.3499999996</v>
      </c>
      <c r="OR18" s="1285">
        <f t="shared" si="92"/>
        <v>0</v>
      </c>
      <c r="OS18" s="713">
        <f t="shared" si="93"/>
        <v>0</v>
      </c>
      <c r="OT18" s="610">
        <f t="shared" si="186"/>
        <v>971462.71</v>
      </c>
      <c r="OU18" s="1194">
        <f t="shared" si="94"/>
        <v>0</v>
      </c>
      <c r="OV18" s="713">
        <f t="shared" si="95"/>
        <v>0</v>
      </c>
      <c r="OW18" s="493">
        <f t="shared" si="96"/>
        <v>272009.56</v>
      </c>
      <c r="OX18" s="713">
        <f t="shared" si="97"/>
        <v>699453.15</v>
      </c>
      <c r="OY18" s="1285">
        <f t="shared" si="98"/>
        <v>0</v>
      </c>
      <c r="OZ18" s="713">
        <f t="shared" si="99"/>
        <v>0</v>
      </c>
      <c r="PA18" s="610">
        <f t="shared" si="187"/>
        <v>0</v>
      </c>
      <c r="PB18" s="1194">
        <f>[1]Субсидия_факт!LZ16</f>
        <v>0</v>
      </c>
      <c r="PC18" s="1295">
        <f>[1]Субсидия_факт!MD16</f>
        <v>0</v>
      </c>
      <c r="PD18" s="1194">
        <f>[1]Субсидия_факт!MH16</f>
        <v>0</v>
      </c>
      <c r="PE18" s="713">
        <f>[1]Субсидия_факт!ML16</f>
        <v>0</v>
      </c>
      <c r="PF18" s="991">
        <f>[1]Субсидия_факт!NL16</f>
        <v>0</v>
      </c>
      <c r="PG18" s="801">
        <f>[1]Субсидия_факт!NP16</f>
        <v>0</v>
      </c>
      <c r="PH18" s="610">
        <f t="shared" si="188"/>
        <v>0</v>
      </c>
      <c r="PI18" s="991"/>
      <c r="PJ18" s="746"/>
      <c r="PK18" s="493"/>
      <c r="PL18" s="746"/>
      <c r="PM18" s="493"/>
      <c r="PN18" s="746"/>
      <c r="PO18" s="504">
        <f t="shared" si="100"/>
        <v>0</v>
      </c>
      <c r="PP18" s="529">
        <f>[1]Субсидия_факт!AF16</f>
        <v>0</v>
      </c>
      <c r="PQ18" s="896">
        <f>[1]Субсидия_факт!AH16</f>
        <v>0</v>
      </c>
      <c r="PR18" s="471">
        <f t="shared" si="101"/>
        <v>0</v>
      </c>
      <c r="PS18" s="809"/>
      <c r="PT18" s="708"/>
      <c r="PU18" s="535">
        <f t="shared" si="102"/>
        <v>0</v>
      </c>
      <c r="PV18" s="673">
        <f>[1]Субсидия_факт!MN16</f>
        <v>0</v>
      </c>
      <c r="PW18" s="814">
        <f>[1]Субсидия_факт!MP16</f>
        <v>0</v>
      </c>
      <c r="PX18" s="535">
        <f t="shared" si="103"/>
        <v>0</v>
      </c>
      <c r="PY18" s="1377"/>
      <c r="PZ18" s="717"/>
      <c r="QA18" s="535">
        <f t="shared" si="104"/>
        <v>0</v>
      </c>
      <c r="QB18" s="1194">
        <f>[1]Субсидия_факт!MR16</f>
        <v>0</v>
      </c>
      <c r="QC18" s="713">
        <f>[1]Субсидия_факт!MV16</f>
        <v>0</v>
      </c>
      <c r="QD18" s="535">
        <f t="shared" si="105"/>
        <v>0</v>
      </c>
      <c r="QE18" s="479"/>
      <c r="QF18" s="717"/>
      <c r="QG18" s="610">
        <f t="shared" si="106"/>
        <v>0</v>
      </c>
      <c r="QH18" s="1194">
        <f t="shared" si="107"/>
        <v>0</v>
      </c>
      <c r="QI18" s="713">
        <f t="shared" si="108"/>
        <v>0</v>
      </c>
      <c r="QJ18" s="610">
        <f t="shared" si="109"/>
        <v>0</v>
      </c>
      <c r="QK18" s="1194">
        <f t="shared" si="110"/>
        <v>0</v>
      </c>
      <c r="QL18" s="713">
        <f t="shared" si="111"/>
        <v>0</v>
      </c>
      <c r="QM18" s="610">
        <f t="shared" si="112"/>
        <v>0</v>
      </c>
      <c r="QN18" s="1210">
        <f>[1]Субсидия_факт!MT16</f>
        <v>0</v>
      </c>
      <c r="QO18" s="713">
        <f>[1]Субсидия_факт!MX16</f>
        <v>0</v>
      </c>
      <c r="QP18" s="610">
        <f t="shared" si="113"/>
        <v>0</v>
      </c>
      <c r="QQ18" s="479"/>
      <c r="QR18" s="717"/>
      <c r="QS18" s="535">
        <f>'Прочая  субсидия_МР  и  ГО'!B14</f>
        <v>28871781.859999999</v>
      </c>
      <c r="QT18" s="535">
        <f>'Прочая  субсидия_МР  и  ГО'!C14</f>
        <v>3594632.69</v>
      </c>
      <c r="QU18" s="540">
        <f>'Прочая  субсидия_БП'!B14</f>
        <v>9193598.7899999991</v>
      </c>
      <c r="QV18" s="542">
        <f>'Прочая  субсидия_БП'!C14</f>
        <v>5536232.3799999999</v>
      </c>
      <c r="QW18" s="605">
        <f>'Прочая  субсидия_БП'!D14</f>
        <v>9193598.7899999991</v>
      </c>
      <c r="QX18" s="604">
        <f>'Прочая  субсидия_БП'!E14</f>
        <v>5536232.3799999999</v>
      </c>
      <c r="QY18" s="611">
        <f>'Прочая  субсидия_БП'!F14</f>
        <v>0</v>
      </c>
      <c r="QZ18" s="605">
        <f>'Прочая  субсидия_БП'!G14</f>
        <v>0</v>
      </c>
      <c r="RA18" s="542">
        <f t="shared" si="189"/>
        <v>339718693</v>
      </c>
      <c r="RB18" s="469">
        <f>'План и исполнение'!RZ18+'План и исполнение'!RG18+'План и исполнение'!RI18+'План и исполнение'!RK18</f>
        <v>335755793</v>
      </c>
      <c r="RC18" s="343">
        <f>'План и исполнение'!SB18+'План и исполнение'!RM18+'План и исполнение'!RS18+'План и исполнение'!RO18+'План и исполнение'!RQ18+RU18+RW18+SA18</f>
        <v>3962900</v>
      </c>
      <c r="RD18" s="534">
        <f t="shared" si="190"/>
        <v>204832846.09</v>
      </c>
      <c r="RE18" s="541">
        <f>'План и исполнение'!SD18+'План и исполнение'!RH18+'План и исполнение'!RJ18+'План и исполнение'!RL18</f>
        <v>202477083</v>
      </c>
      <c r="RF18" s="343">
        <f>'План и исполнение'!SF18+'План и исполнение'!RN18+'План и исполнение'!RT18+'План и исполнение'!RP18+'План и исполнение'!RR18+RV18+RX18+SE18</f>
        <v>2355763.09</v>
      </c>
      <c r="RG18" s="599">
        <f>'Субвенция  на  полномочия'!B14</f>
        <v>320814693</v>
      </c>
      <c r="RH18" s="471">
        <f>'Субвенция  на  полномочия'!C14</f>
        <v>194199083</v>
      </c>
      <c r="RI18" s="768">
        <f>[1]Субвенция_факт!P15*1000</f>
        <v>10264300</v>
      </c>
      <c r="RJ18" s="771">
        <v>4400000</v>
      </c>
      <c r="RK18" s="768">
        <f>[1]Субвенция_факт!K15*1000</f>
        <v>3323400</v>
      </c>
      <c r="RL18" s="771">
        <v>3060000</v>
      </c>
      <c r="RM18" s="768">
        <f>[1]Субвенция_факт!AF15*1000</f>
        <v>1657900</v>
      </c>
      <c r="RN18" s="771">
        <v>824060.19</v>
      </c>
      <c r="RO18" s="768">
        <f>[1]Субвенция_факт!AG15*1000</f>
        <v>5000</v>
      </c>
      <c r="RP18" s="771">
        <v>0</v>
      </c>
      <c r="RQ18" s="768">
        <f>[1]Субвенция_факт!E15*1000</f>
        <v>0</v>
      </c>
      <c r="RR18" s="771"/>
      <c r="RS18" s="768">
        <f>[1]Субвенция_факт!F15*1000</f>
        <v>0</v>
      </c>
      <c r="RT18" s="877"/>
      <c r="RU18" s="168">
        <f>[1]Субвенция_факт!G15*1000</f>
        <v>0</v>
      </c>
      <c r="RV18" s="1241"/>
      <c r="RW18" s="168">
        <f>[1]Субвенция_факт!H15*1000</f>
        <v>0</v>
      </c>
      <c r="RX18" s="878"/>
      <c r="RY18" s="504">
        <f t="shared" si="191"/>
        <v>3653400</v>
      </c>
      <c r="RZ18" s="887">
        <f>[1]Субвенция_факт!AE15*1000</f>
        <v>1353400</v>
      </c>
      <c r="SA18" s="882">
        <f>[1]Субвенция_факт!AD15*1000</f>
        <v>0</v>
      </c>
      <c r="SB18" s="1158">
        <f>[1]Субвенция_факт!AC15*1000</f>
        <v>2300000</v>
      </c>
      <c r="SC18" s="535">
        <f t="shared" si="116"/>
        <v>2349702.9</v>
      </c>
      <c r="SD18" s="974">
        <v>818000</v>
      </c>
      <c r="SE18" s="1645"/>
      <c r="SF18" s="1652">
        <v>1531702.9</v>
      </c>
      <c r="SG18" s="279">
        <f>'План и исполнение'!VI18+'План и исполнение'!VA18+'План и исполнение'!TA18+'План и исполнение'!TE18+UO18+UU18+SO18+SS18+TM18+TQ18+UE18+SI18+TY18</f>
        <v>0</v>
      </c>
      <c r="SH18" s="168">
        <f>'План и исполнение'!VK18+'План и исполнение'!VE18+'План и исполнение'!TC18+'План и исполнение'!TG18+UR18+UX18+SQ18+SU18+TO18+TS18+UH18+SL18+UB18</f>
        <v>0</v>
      </c>
      <c r="SI18" s="540">
        <f t="shared" si="117"/>
        <v>0</v>
      </c>
      <c r="SJ18" s="887">
        <f>'[1]Иные межбюджетные трансферты'!E16</f>
        <v>0</v>
      </c>
      <c r="SK18" s="945">
        <f>'[1]Иные межбюджетные трансферты'!G16</f>
        <v>0</v>
      </c>
      <c r="SL18" s="535">
        <f t="shared" si="118"/>
        <v>0</v>
      </c>
      <c r="SM18" s="1323"/>
      <c r="SN18" s="1464"/>
      <c r="SO18" s="1335">
        <f t="shared" si="192"/>
        <v>0</v>
      </c>
      <c r="SP18" s="1115">
        <f>'[1]Иные межбюджетные трансферты'!W16</f>
        <v>0</v>
      </c>
      <c r="SQ18" s="1333">
        <f t="shared" si="193"/>
        <v>0</v>
      </c>
      <c r="SR18" s="1334"/>
      <c r="SS18" s="1336">
        <f t="shared" si="194"/>
        <v>0</v>
      </c>
      <c r="ST18" s="1115">
        <f>'[1]Иные межбюджетные трансферты'!Y16</f>
        <v>0</v>
      </c>
      <c r="SU18" s="1344">
        <f t="shared" si="195"/>
        <v>0</v>
      </c>
      <c r="SV18" s="1334"/>
      <c r="SW18" s="1336">
        <f t="shared" si="196"/>
        <v>0</v>
      </c>
      <c r="SX18" s="1344">
        <f t="shared" si="197"/>
        <v>0</v>
      </c>
      <c r="SY18" s="1355">
        <f t="shared" si="198"/>
        <v>0</v>
      </c>
      <c r="SZ18" s="1344">
        <f t="shared" si="199"/>
        <v>0</v>
      </c>
      <c r="TA18" s="1350">
        <f t="shared" si="119"/>
        <v>0</v>
      </c>
      <c r="TB18" s="1115">
        <f>'[1]Иные межбюджетные трансферты'!AC16</f>
        <v>0</v>
      </c>
      <c r="TC18" s="965">
        <f t="shared" si="120"/>
        <v>0</v>
      </c>
      <c r="TD18" s="945"/>
      <c r="TE18" s="971">
        <f t="shared" si="121"/>
        <v>0</v>
      </c>
      <c r="TF18" s="1115">
        <f>'[1]Иные межбюджетные трансферты'!AE16</f>
        <v>0</v>
      </c>
      <c r="TG18" s="965">
        <f t="shared" si="122"/>
        <v>0</v>
      </c>
      <c r="TH18" s="1214"/>
      <c r="TI18" s="968">
        <f t="shared" si="123"/>
        <v>0</v>
      </c>
      <c r="TJ18" s="962">
        <f t="shared" si="124"/>
        <v>0</v>
      </c>
      <c r="TK18" s="1219">
        <f t="shared" si="200"/>
        <v>0</v>
      </c>
      <c r="TL18" s="962">
        <f t="shared" si="201"/>
        <v>0</v>
      </c>
      <c r="TM18" s="971">
        <f t="shared" si="125"/>
        <v>0</v>
      </c>
      <c r="TN18" s="1115">
        <f>'[1]Иные межбюджетные трансферты'!AI16</f>
        <v>0</v>
      </c>
      <c r="TO18" s="965">
        <f t="shared" si="126"/>
        <v>0</v>
      </c>
      <c r="TP18" s="945"/>
      <c r="TQ18" s="971">
        <f t="shared" si="127"/>
        <v>0</v>
      </c>
      <c r="TR18" s="1115">
        <f>'[1]Иные межбюджетные трансферты'!AK16</f>
        <v>0</v>
      </c>
      <c r="TS18" s="965">
        <f t="shared" si="128"/>
        <v>0</v>
      </c>
      <c r="TT18" s="1214"/>
      <c r="TU18" s="968">
        <f t="shared" si="129"/>
        <v>0</v>
      </c>
      <c r="TV18" s="962">
        <f t="shared" si="130"/>
        <v>0</v>
      </c>
      <c r="TW18" s="1219">
        <f t="shared" si="202"/>
        <v>0</v>
      </c>
      <c r="TX18" s="968">
        <f t="shared" si="203"/>
        <v>0</v>
      </c>
      <c r="TY18" s="971">
        <f t="shared" si="204"/>
        <v>0</v>
      </c>
      <c r="TZ18" s="1210"/>
      <c r="UA18" s="713"/>
      <c r="UB18" s="971">
        <f t="shared" si="205"/>
        <v>0</v>
      </c>
      <c r="UC18" s="810"/>
      <c r="UD18" s="717"/>
      <c r="UE18" s="971">
        <f t="shared" si="206"/>
        <v>0</v>
      </c>
      <c r="UF18" s="1210">
        <f>'[1]Иные межбюджетные трансферты'!AS16</f>
        <v>0</v>
      </c>
      <c r="UG18" s="713">
        <f>'[1]Иные межбюджетные трансферты'!AW16</f>
        <v>0</v>
      </c>
      <c r="UH18" s="965">
        <f t="shared" si="207"/>
        <v>0</v>
      </c>
      <c r="UI18" s="1484"/>
      <c r="UJ18" s="804"/>
      <c r="UK18" s="865">
        <f t="shared" si="208"/>
        <v>0</v>
      </c>
      <c r="UL18" s="865">
        <f t="shared" si="209"/>
        <v>0</v>
      </c>
      <c r="UM18" s="865">
        <f t="shared" si="210"/>
        <v>0</v>
      </c>
      <c r="UN18" s="1493">
        <f t="shared" si="211"/>
        <v>0</v>
      </c>
      <c r="UO18" s="1267">
        <f t="shared" si="131"/>
        <v>0</v>
      </c>
      <c r="UP18" s="1029">
        <f>'[1]Иные межбюджетные трансферты'!S16</f>
        <v>0</v>
      </c>
      <c r="UQ18" s="1266">
        <f>'[1]Иные межбюджетные трансферты'!U16</f>
        <v>0</v>
      </c>
      <c r="UR18" s="769">
        <f t="shared" si="132"/>
        <v>0</v>
      </c>
      <c r="US18" s="1029"/>
      <c r="UT18" s="1266"/>
      <c r="UU18" s="1267">
        <f t="shared" si="133"/>
        <v>0</v>
      </c>
      <c r="UV18" s="1029">
        <f>'[1]Иные межбюджетные трансферты'!O16</f>
        <v>0</v>
      </c>
      <c r="UW18" s="1266">
        <f>'[1]Иные межбюджетные трансферты'!Q16</f>
        <v>0</v>
      </c>
      <c r="UX18" s="769">
        <f t="shared" si="134"/>
        <v>0</v>
      </c>
      <c r="UY18" s="1029"/>
      <c r="UZ18" s="1266"/>
      <c r="VA18" s="888">
        <f t="shared" si="212"/>
        <v>0</v>
      </c>
      <c r="VB18" s="887">
        <f>'[1]Иные межбюджетные трансферты'!I16</f>
        <v>0</v>
      </c>
      <c r="VC18" s="945">
        <f>'[1]Иные межбюджетные трансферты'!K16</f>
        <v>0</v>
      </c>
      <c r="VD18" s="1158">
        <f>'[1]Иные межбюджетные трансферты'!M16</f>
        <v>0</v>
      </c>
      <c r="VE18" s="888">
        <f t="shared" si="213"/>
        <v>0</v>
      </c>
      <c r="VF18" s="980"/>
      <c r="VG18" s="978"/>
      <c r="VH18" s="1323"/>
      <c r="VI18" s="528">
        <f t="shared" si="135"/>
        <v>0</v>
      </c>
      <c r="VJ18" s="882"/>
      <c r="VK18" s="888">
        <f t="shared" si="136"/>
        <v>0</v>
      </c>
      <c r="VL18" s="531"/>
      <c r="VM18" s="893">
        <f t="shared" si="137"/>
        <v>0</v>
      </c>
      <c r="VN18" s="529"/>
      <c r="VO18" s="893">
        <f t="shared" si="138"/>
        <v>0</v>
      </c>
      <c r="VP18" s="529"/>
      <c r="VQ18" s="893">
        <f t="shared" si="139"/>
        <v>0</v>
      </c>
      <c r="VR18" s="882"/>
      <c r="VS18" s="1028">
        <f t="shared" si="140"/>
        <v>0</v>
      </c>
      <c r="VT18" s="531"/>
      <c r="VU18" s="535">
        <f>VW18+'План и исполнение'!WE18+WA18+'План и исполнение'!WI18+WC18+'План и исполнение'!WK18</f>
        <v>-10860000</v>
      </c>
      <c r="VV18" s="535">
        <f>VX18+'План и исполнение'!WF18+WB18+'План и исполнение'!WJ18+WD18+'План и исполнение'!WL18</f>
        <v>-4940000</v>
      </c>
      <c r="VW18" s="549"/>
      <c r="VX18" s="549"/>
      <c r="VY18" s="549">
        <v>400000</v>
      </c>
      <c r="VZ18" s="549">
        <v>400000</v>
      </c>
      <c r="WA18" s="546">
        <f t="shared" si="141"/>
        <v>400000</v>
      </c>
      <c r="WB18" s="544">
        <f t="shared" si="142"/>
        <v>400000</v>
      </c>
      <c r="WC18" s="550"/>
      <c r="WD18" s="539"/>
      <c r="WE18" s="549">
        <v>-9250000</v>
      </c>
      <c r="WF18" s="549">
        <v>-5250000</v>
      </c>
      <c r="WG18" s="549">
        <f>-90000-400000-800000-140000-580000</f>
        <v>-2010000</v>
      </c>
      <c r="WH18" s="549">
        <v>-90000</v>
      </c>
      <c r="WI18" s="546">
        <f t="shared" si="143"/>
        <v>-2010000</v>
      </c>
      <c r="WJ18" s="544">
        <f t="shared" si="144"/>
        <v>-90000</v>
      </c>
      <c r="WK18" s="539"/>
      <c r="WL18" s="539"/>
      <c r="WM18" s="1547">
        <f>'План и исполнение'!WE18+'План и исполнение'!WG18</f>
        <v>-11260000</v>
      </c>
      <c r="WN18" s="1547">
        <f>'План и исполнение'!WF18+'План и исполнение'!WH18</f>
        <v>-5340000</v>
      </c>
      <c r="WO18" s="1154"/>
    </row>
    <row r="19" spans="1:613" s="340" customFormat="1" ht="25.5" customHeight="1" x14ac:dyDescent="0.3">
      <c r="A19" s="349" t="s">
        <v>86</v>
      </c>
      <c r="B19" s="542">
        <f>D19+AI19+'План и исполнение'!RA19+'План и исполнение'!SG19</f>
        <v>567540749.16000009</v>
      </c>
      <c r="C19" s="535">
        <f>E19+'План и исполнение'!RD19+AJ19+'План и исполнение'!SH19</f>
        <v>304107188.26999998</v>
      </c>
      <c r="D19" s="540">
        <f t="shared" si="0"/>
        <v>139663700</v>
      </c>
      <c r="E19" s="542">
        <f t="shared" si="1"/>
        <v>70187070</v>
      </c>
      <c r="F19" s="603">
        <f>'[1]Дотация  из  ОБ_факт'!M15</f>
        <v>67182800</v>
      </c>
      <c r="G19" s="1551">
        <v>33591600</v>
      </c>
      <c r="H19" s="1556">
        <f>'[1]Дотация  из  ОБ_факт'!G15</f>
        <v>47716000</v>
      </c>
      <c r="I19" s="1551">
        <v>24020170</v>
      </c>
      <c r="J19" s="604">
        <f t="shared" si="2"/>
        <v>36858000</v>
      </c>
      <c r="K19" s="611">
        <f t="shared" si="3"/>
        <v>18591170</v>
      </c>
      <c r="L19" s="891">
        <f>'[1]Дотация  из  ОБ_факт'!K15</f>
        <v>10858000</v>
      </c>
      <c r="M19" s="782">
        <v>5429000</v>
      </c>
      <c r="N19" s="603">
        <f>'[1]Дотация  из  ОБ_факт'!Q15</f>
        <v>4061000</v>
      </c>
      <c r="O19" s="1054">
        <v>1436000</v>
      </c>
      <c r="P19" s="603">
        <f>'[1]Дотация  из  ОБ_факт'!S15</f>
        <v>19203900</v>
      </c>
      <c r="Q19" s="1048">
        <v>9639300</v>
      </c>
      <c r="R19" s="611">
        <f t="shared" si="4"/>
        <v>18278800</v>
      </c>
      <c r="S19" s="605">
        <f t="shared" si="5"/>
        <v>9176750</v>
      </c>
      <c r="T19" s="891">
        <f>'[1]Дотация  из  ОБ_факт'!W15</f>
        <v>925100</v>
      </c>
      <c r="U19" s="643">
        <v>462550</v>
      </c>
      <c r="V19" s="603">
        <f>'[1]Дотация  из  ОБ_факт'!AA15+'[1]Дотация  из  ОБ_факт'!AC15+'[1]Дотация  из  ОБ_факт'!AG15</f>
        <v>0</v>
      </c>
      <c r="W19" s="465">
        <f t="shared" si="6"/>
        <v>0</v>
      </c>
      <c r="X19" s="607"/>
      <c r="Y19" s="606"/>
      <c r="Z19" s="607"/>
      <c r="AA19" s="603">
        <f>'[1]Дотация  из  ОБ_факт'!Y15+'[1]Дотация  из  ОБ_факт'!AE15</f>
        <v>1500000</v>
      </c>
      <c r="AB19" s="170">
        <f t="shared" si="7"/>
        <v>1500000</v>
      </c>
      <c r="AC19" s="606"/>
      <c r="AD19" s="607">
        <v>1500000</v>
      </c>
      <c r="AE19" s="604">
        <f t="shared" si="8"/>
        <v>0</v>
      </c>
      <c r="AF19" s="611">
        <f t="shared" si="9"/>
        <v>0</v>
      </c>
      <c r="AG19" s="604">
        <f>'[1]Дотация  из  ОБ_факт'!AE15</f>
        <v>1500000</v>
      </c>
      <c r="AH19" s="772">
        <v>1500000</v>
      </c>
      <c r="AI19" s="599">
        <f>'План и исполнение'!LQ19+'План и исполнение'!QS19+'План и исполнение'!QU19+CQ19+CS19+CY19+DA19+BS19+CA19+'План и исполнение'!JQ19+'План и исполнение'!KA19+'План и исполнение'!EC19+'План и исполнение'!LE19+DM19+'План и исполнение'!IM19+'План и исполнение'!IS19+'План и исполнение'!MM19+'План и исполнение'!MU19+IG19+'План и исполнение'!MA19+FK19+EY19+PO19+ES19+AK19+AU19+FE19+JK19+GG19+GQ19+DG19+PU19+FQ19+EI19+QA19+NY19+GA19+CM19+HU19+IA19+NS19</f>
        <v>138988526.16000003</v>
      </c>
      <c r="AJ19" s="504">
        <f>'План и исполнение'!LV19+'План и исполнение'!QT19+'План и исполнение'!QV19+CR19+CT19+CZ19+DB19+BW19+CE19+'План и исполнение'!JV19+'План и исполнение'!KF19+'План и исполнение'!EF19+'План и исполнение'!LK19+DU19+'План и исполнение'!IP19+'План и исполнение'!IV19+'План и исполнение'!MQ19+'План и исполнение'!MY19+IJ19+'План и исполнение'!ME19+FH19+FN19+FB19+PR19+EV19+AP19+AY19+JN19+GL19+GV19+DJ19+PX19+FT19+EN19+QD19+OF19+GD19+CO19+HX19+ID19+NV19</f>
        <v>28519284.020000003</v>
      </c>
      <c r="AK19" s="504">
        <f t="shared" si="10"/>
        <v>0</v>
      </c>
      <c r="AL19" s="343">
        <f>[1]Субсидия_факт!DB17</f>
        <v>0</v>
      </c>
      <c r="AM19" s="516">
        <f>[1]Субсидия_факт!FF17</f>
        <v>0</v>
      </c>
      <c r="AN19" s="514">
        <f>[1]Субсидия_факт!FR17</f>
        <v>0</v>
      </c>
      <c r="AO19" s="516">
        <f>[1]Субсидия_факт!MZ17</f>
        <v>0</v>
      </c>
      <c r="AP19" s="504">
        <f t="shared" si="11"/>
        <v>0</v>
      </c>
      <c r="AQ19" s="479"/>
      <c r="AR19" s="479"/>
      <c r="AS19" s="479"/>
      <c r="AT19" s="479"/>
      <c r="AU19" s="504">
        <f t="shared" si="12"/>
        <v>0</v>
      </c>
      <c r="AV19" s="469">
        <f>[1]Субсидия_факт!DD17</f>
        <v>0</v>
      </c>
      <c r="AW19" s="343">
        <f>[1]Субсидия_факт!FJ17</f>
        <v>0</v>
      </c>
      <c r="AX19" s="514">
        <f>[1]Субсидия_факт!NB17</f>
        <v>0</v>
      </c>
      <c r="AY19" s="504">
        <f t="shared" si="13"/>
        <v>0</v>
      </c>
      <c r="AZ19" s="547"/>
      <c r="BA19" s="547"/>
      <c r="BB19" s="548"/>
      <c r="BC19" s="697">
        <f t="shared" si="14"/>
        <v>0</v>
      </c>
      <c r="BD19" s="680">
        <f t="shared" si="15"/>
        <v>0</v>
      </c>
      <c r="BE19" s="469">
        <f t="shared" si="16"/>
        <v>0</v>
      </c>
      <c r="BF19" s="343">
        <f t="shared" si="17"/>
        <v>0</v>
      </c>
      <c r="BG19" s="697">
        <f t="shared" si="18"/>
        <v>0</v>
      </c>
      <c r="BH19" s="647">
        <f t="shared" si="19"/>
        <v>0</v>
      </c>
      <c r="BI19" s="514">
        <f t="shared" si="20"/>
        <v>0</v>
      </c>
      <c r="BJ19" s="343">
        <f t="shared" si="21"/>
        <v>0</v>
      </c>
      <c r="BK19" s="697">
        <f t="shared" si="22"/>
        <v>0</v>
      </c>
      <c r="BL19" s="469">
        <f>[1]Субсидия_факт!DF17</f>
        <v>0</v>
      </c>
      <c r="BM19" s="343">
        <f>[1]Субсидия_факт!FL17</f>
        <v>0</v>
      </c>
      <c r="BN19" s="469">
        <f>[1]Субсидия_факт!ND17</f>
        <v>0</v>
      </c>
      <c r="BO19" s="697">
        <f t="shared" si="23"/>
        <v>0</v>
      </c>
      <c r="BP19" s="548"/>
      <c r="BQ19" s="547"/>
      <c r="BR19" s="548"/>
      <c r="BS19" s="535">
        <f t="shared" si="145"/>
        <v>29279674.75</v>
      </c>
      <c r="BT19" s="449">
        <f>[1]Субсидия_факт!IL17</f>
        <v>10826793.75</v>
      </c>
      <c r="BU19" s="343">
        <f>[1]Субсидия_факт!IR17</f>
        <v>18452881</v>
      </c>
      <c r="BV19" s="529">
        <f>[1]Субсидия_факт!JD17</f>
        <v>0</v>
      </c>
      <c r="BW19" s="535">
        <f t="shared" si="146"/>
        <v>2770795.91</v>
      </c>
      <c r="BX19" s="547"/>
      <c r="BY19" s="547">
        <v>2770795.91</v>
      </c>
      <c r="BZ19" s="650"/>
      <c r="CA19" s="535">
        <f t="shared" si="147"/>
        <v>10271822.25</v>
      </c>
      <c r="CB19" s="469">
        <f>[1]Субсидия_факт!IN17</f>
        <v>10271822.25</v>
      </c>
      <c r="CC19" s="343">
        <f>[1]Субсидия_факт!IT17</f>
        <v>0</v>
      </c>
      <c r="CD19" s="529">
        <f>[1]Субсидия_факт!JF17</f>
        <v>0</v>
      </c>
      <c r="CE19" s="535">
        <f t="shared" si="148"/>
        <v>0</v>
      </c>
      <c r="CF19" s="547"/>
      <c r="CG19" s="548"/>
      <c r="CH19" s="760"/>
      <c r="CI19" s="546">
        <f t="shared" si="24"/>
        <v>0</v>
      </c>
      <c r="CJ19" s="544">
        <f t="shared" si="25"/>
        <v>0</v>
      </c>
      <c r="CK19" s="543">
        <f t="shared" si="149"/>
        <v>10271822.25</v>
      </c>
      <c r="CL19" s="546">
        <f t="shared" si="150"/>
        <v>0</v>
      </c>
      <c r="CM19" s="965">
        <f t="shared" si="151"/>
        <v>0</v>
      </c>
      <c r="CN19" s="721">
        <f>[1]Субсидия_факт!FT17</f>
        <v>0</v>
      </c>
      <c r="CO19" s="965">
        <f t="shared" si="151"/>
        <v>0</v>
      </c>
      <c r="CP19" s="721"/>
      <c r="CQ19" s="534">
        <f>[1]Субсидия_факт!FV17</f>
        <v>0</v>
      </c>
      <c r="CR19" s="644"/>
      <c r="CS19" s="535">
        <f>[1]Субсидия_факт!FX17</f>
        <v>0</v>
      </c>
      <c r="CT19" s="644"/>
      <c r="CU19" s="544">
        <f t="shared" si="26"/>
        <v>0</v>
      </c>
      <c r="CV19" s="543">
        <f t="shared" si="27"/>
        <v>0</v>
      </c>
      <c r="CW19" s="610">
        <f>[1]Субсидия_факт!FZ17</f>
        <v>0</v>
      </c>
      <c r="CX19" s="643"/>
      <c r="CY19" s="542">
        <f>[1]Субсидия_факт!GB17</f>
        <v>0</v>
      </c>
      <c r="CZ19" s="341"/>
      <c r="DA19" s="534">
        <f>[1]Субсидия_факт!GD17</f>
        <v>0</v>
      </c>
      <c r="DB19" s="644"/>
      <c r="DC19" s="544">
        <f t="shared" si="28"/>
        <v>0</v>
      </c>
      <c r="DD19" s="544">
        <f t="shared" si="29"/>
        <v>0</v>
      </c>
      <c r="DE19" s="691">
        <f>[1]Субсидия_факт!GF17</f>
        <v>0</v>
      </c>
      <c r="DF19" s="342"/>
      <c r="DG19" s="504">
        <f t="shared" si="30"/>
        <v>0</v>
      </c>
      <c r="DH19" s="529">
        <f>[1]Субсидия_факт!EV17</f>
        <v>0</v>
      </c>
      <c r="DI19" s="896">
        <f>[1]Субсидия_факт!EX17</f>
        <v>0</v>
      </c>
      <c r="DJ19" s="471">
        <f t="shared" si="31"/>
        <v>0</v>
      </c>
      <c r="DK19" s="809"/>
      <c r="DL19" s="1083"/>
      <c r="DM19" s="542">
        <f t="shared" si="32"/>
        <v>0</v>
      </c>
      <c r="DN19" s="541">
        <f>[1]Субсидия_факт!R17</f>
        <v>0</v>
      </c>
      <c r="DO19" s="1210">
        <f>[1]Субсидия_факт!T17</f>
        <v>0</v>
      </c>
      <c r="DP19" s="713">
        <f>[1]Субсидия_факт!V17</f>
        <v>0</v>
      </c>
      <c r="DQ19" s="673">
        <f>[1]Субсидия_факт!X17</f>
        <v>0</v>
      </c>
      <c r="DR19" s="814">
        <f>[1]Субсидия_факт!Z17</f>
        <v>0</v>
      </c>
      <c r="DS19" s="516">
        <f>[1]Субсидия_факт!AB17</f>
        <v>0</v>
      </c>
      <c r="DT19" s="673">
        <f>[1]Субсидия_факт!AD17</f>
        <v>0</v>
      </c>
      <c r="DU19" s="535">
        <f t="shared" si="33"/>
        <v>0</v>
      </c>
      <c r="DV19" s="548"/>
      <c r="DW19" s="547"/>
      <c r="DX19" s="717"/>
      <c r="DY19" s="547"/>
      <c r="DZ19" s="717"/>
      <c r="EA19" s="548"/>
      <c r="EB19" s="1210">
        <f t="shared" si="214"/>
        <v>0</v>
      </c>
      <c r="EC19" s="504">
        <f t="shared" si="34"/>
        <v>0</v>
      </c>
      <c r="ED19" s="529">
        <f>[1]Субсидия_факт!BN17</f>
        <v>0</v>
      </c>
      <c r="EE19" s="896">
        <f>[1]Субсидия_факт!BP17</f>
        <v>0</v>
      </c>
      <c r="EF19" s="471">
        <f t="shared" si="35"/>
        <v>0</v>
      </c>
      <c r="EG19" s="809"/>
      <c r="EH19" s="1083"/>
      <c r="EI19" s="542">
        <f t="shared" si="152"/>
        <v>2980082.37</v>
      </c>
      <c r="EJ19" s="469">
        <f>[1]Субсидия_факт!AJ17</f>
        <v>120407.37</v>
      </c>
      <c r="EK19" s="721">
        <f>[1]Субсидия_факт!AL17</f>
        <v>2859675</v>
      </c>
      <c r="EL19" s="449">
        <f>[1]Субсидия_факт!AN17</f>
        <v>0</v>
      </c>
      <c r="EM19" s="721">
        <f>[1]Субсидия_факт!AP17</f>
        <v>0</v>
      </c>
      <c r="EN19" s="535">
        <f t="shared" si="153"/>
        <v>2045500.3699999999</v>
      </c>
      <c r="EO19" s="479">
        <v>82646.48</v>
      </c>
      <c r="EP19" s="717">
        <v>1962853.89</v>
      </c>
      <c r="EQ19" s="479"/>
      <c r="ER19" s="717"/>
      <c r="ES19" s="504">
        <f t="shared" si="36"/>
        <v>0</v>
      </c>
      <c r="ET19" s="529">
        <f>[1]Субсидия_факт!AX17</f>
        <v>0</v>
      </c>
      <c r="EU19" s="789">
        <f>[1]Субсидия_факт!AZ17</f>
        <v>0</v>
      </c>
      <c r="EV19" s="471">
        <f t="shared" si="37"/>
        <v>0</v>
      </c>
      <c r="EW19" s="809"/>
      <c r="EX19" s="708"/>
      <c r="EY19" s="504">
        <f t="shared" si="38"/>
        <v>0</v>
      </c>
      <c r="EZ19" s="529">
        <f>[1]Субсидия_факт!BZ17</f>
        <v>0</v>
      </c>
      <c r="FA19" s="896">
        <f>[1]Субсидия_факт!CB17</f>
        <v>0</v>
      </c>
      <c r="FB19" s="471">
        <f t="shared" si="39"/>
        <v>0</v>
      </c>
      <c r="FC19" s="809"/>
      <c r="FD19" s="708"/>
      <c r="FE19" s="504">
        <f t="shared" si="40"/>
        <v>0</v>
      </c>
      <c r="FF19" s="529">
        <f>[1]Субсидия_факт!BR17</f>
        <v>0</v>
      </c>
      <c r="FG19" s="896">
        <f>[1]Субсидия_факт!BT17</f>
        <v>0</v>
      </c>
      <c r="FH19" s="471">
        <f t="shared" si="41"/>
        <v>0</v>
      </c>
      <c r="FI19" s="809"/>
      <c r="FJ19" s="708"/>
      <c r="FK19" s="504">
        <f t="shared" si="42"/>
        <v>0</v>
      </c>
      <c r="FL19" s="529">
        <f>[1]Субсидия_факт!KJ17</f>
        <v>0</v>
      </c>
      <c r="FM19" s="896">
        <f>[1]Субсидия_факт!KL17</f>
        <v>0</v>
      </c>
      <c r="FN19" s="471">
        <f t="shared" si="43"/>
        <v>0</v>
      </c>
      <c r="FO19" s="809"/>
      <c r="FP19" s="708"/>
      <c r="FQ19" s="504">
        <f t="shared" si="44"/>
        <v>0</v>
      </c>
      <c r="FR19" s="529">
        <f>[1]Субсидия_факт!KN17</f>
        <v>0</v>
      </c>
      <c r="FS19" s="896">
        <f>[1]Субсидия_факт!KR17</f>
        <v>0</v>
      </c>
      <c r="FT19" s="471">
        <f t="shared" si="45"/>
        <v>0</v>
      </c>
      <c r="FU19" s="809"/>
      <c r="FV19" s="708"/>
      <c r="FW19" s="695">
        <f t="shared" si="154"/>
        <v>0</v>
      </c>
      <c r="FX19" s="697">
        <f t="shared" si="155"/>
        <v>0</v>
      </c>
      <c r="FY19" s="695">
        <f t="shared" si="156"/>
        <v>0</v>
      </c>
      <c r="FZ19" s="697">
        <f t="shared" si="157"/>
        <v>0</v>
      </c>
      <c r="GA19" s="504">
        <f t="shared" si="158"/>
        <v>0</v>
      </c>
      <c r="GB19" s="1374">
        <f>[1]Субсидия_факт!BJ17</f>
        <v>0</v>
      </c>
      <c r="GC19" s="706">
        <f>[1]Субсидия_факт!BL17</f>
        <v>0</v>
      </c>
      <c r="GD19" s="504">
        <f t="shared" si="159"/>
        <v>0</v>
      </c>
      <c r="GE19" s="760"/>
      <c r="GF19" s="708"/>
      <c r="GG19" s="504">
        <f t="shared" si="46"/>
        <v>0</v>
      </c>
      <c r="GH19" s="760"/>
      <c r="GI19" s="708"/>
      <c r="GJ19" s="529"/>
      <c r="GK19" s="896"/>
      <c r="GL19" s="471">
        <f t="shared" si="47"/>
        <v>0</v>
      </c>
      <c r="GM19" s="760"/>
      <c r="GN19" s="708"/>
      <c r="GO19" s="760"/>
      <c r="GP19" s="708"/>
      <c r="GQ19" s="471">
        <f t="shared" si="160"/>
        <v>717205.84</v>
      </c>
      <c r="GR19" s="1374">
        <f>[1]Субсидия_факт!GJ17</f>
        <v>92942.99</v>
      </c>
      <c r="GS19" s="706">
        <f>[1]Субсидия_факт!GN17</f>
        <v>0</v>
      </c>
      <c r="GT19" s="529">
        <f>[1]Субсидия_факт!GX17</f>
        <v>366391.87</v>
      </c>
      <c r="GU19" s="896">
        <f>[1]Субсидия_факт!HB17</f>
        <v>257870.98</v>
      </c>
      <c r="GV19" s="471">
        <f t="shared" si="161"/>
        <v>376550.73</v>
      </c>
      <c r="GW19" s="760"/>
      <c r="GX19" s="708"/>
      <c r="GY19" s="760">
        <v>221004.86</v>
      </c>
      <c r="GZ19" s="708">
        <v>155545.87</v>
      </c>
      <c r="HA19" s="695">
        <f t="shared" si="162"/>
        <v>471724.04000000004</v>
      </c>
      <c r="HB19" s="1374">
        <f t="shared" si="48"/>
        <v>92942.99</v>
      </c>
      <c r="HC19" s="1375">
        <f t="shared" si="49"/>
        <v>0</v>
      </c>
      <c r="HD19" s="529">
        <f t="shared" si="50"/>
        <v>222313.88</v>
      </c>
      <c r="HE19" s="896">
        <f t="shared" si="51"/>
        <v>156467.17000000001</v>
      </c>
      <c r="HF19" s="695">
        <f t="shared" si="163"/>
        <v>195197.61</v>
      </c>
      <c r="HG19" s="1374">
        <f t="shared" si="52"/>
        <v>0</v>
      </c>
      <c r="HH19" s="1375">
        <f t="shared" si="53"/>
        <v>0</v>
      </c>
      <c r="HI19" s="529">
        <f t="shared" si="54"/>
        <v>114565.22999999998</v>
      </c>
      <c r="HJ19" s="896">
        <f t="shared" si="55"/>
        <v>80632.37999999999</v>
      </c>
      <c r="HK19" s="695">
        <f t="shared" si="164"/>
        <v>245481.8</v>
      </c>
      <c r="HL19" s="1374">
        <f>[1]Субсидия_факт!GL17</f>
        <v>0</v>
      </c>
      <c r="HM19" s="706">
        <f>[1]Субсидия_факт!GP17</f>
        <v>0</v>
      </c>
      <c r="HN19" s="529">
        <f>[1]Субсидия_факт!GZ17</f>
        <v>144077.99</v>
      </c>
      <c r="HO19" s="896">
        <f>[1]Субсидия_факт!HD17</f>
        <v>101403.81</v>
      </c>
      <c r="HP19" s="695">
        <f t="shared" si="165"/>
        <v>181353.12</v>
      </c>
      <c r="HQ19" s="760"/>
      <c r="HR19" s="708"/>
      <c r="HS19" s="760">
        <v>106439.63</v>
      </c>
      <c r="HT19" s="708">
        <v>74913.490000000005</v>
      </c>
      <c r="HU19" s="542">
        <f t="shared" si="56"/>
        <v>0</v>
      </c>
      <c r="HV19" s="531">
        <f>[1]Субсидия_факт!N17</f>
        <v>0</v>
      </c>
      <c r="HW19" s="789">
        <f>[1]Субсидия_факт!P17</f>
        <v>0</v>
      </c>
      <c r="HX19" s="535">
        <f t="shared" si="57"/>
        <v>0</v>
      </c>
      <c r="HY19" s="547"/>
      <c r="HZ19" s="739"/>
      <c r="IA19" s="542">
        <f t="shared" si="58"/>
        <v>0</v>
      </c>
      <c r="IB19" s="541">
        <f>[1]Субсидия_факт!DZ17</f>
        <v>0</v>
      </c>
      <c r="IC19" s="721">
        <f>[1]Субсидия_факт!EB17</f>
        <v>0</v>
      </c>
      <c r="ID19" s="534">
        <f t="shared" si="59"/>
        <v>0</v>
      </c>
      <c r="IE19" s="547"/>
      <c r="IF19" s="739"/>
      <c r="IG19" s="542">
        <f t="shared" si="166"/>
        <v>0</v>
      </c>
      <c r="IH19" s="531">
        <f>[1]Субсидия_факт!EP17</f>
        <v>0</v>
      </c>
      <c r="II19" s="789">
        <f>[1]Субсидия_факт!ER17</f>
        <v>0</v>
      </c>
      <c r="IJ19" s="535">
        <f t="shared" si="167"/>
        <v>0</v>
      </c>
      <c r="IK19" s="547"/>
      <c r="IL19" s="739"/>
      <c r="IM19" s="599">
        <f t="shared" si="62"/>
        <v>1262638.42</v>
      </c>
      <c r="IN19" s="529">
        <f>[1]Субсидия_факт!ED17</f>
        <v>353540.49</v>
      </c>
      <c r="IO19" s="896">
        <f>[1]Субсидия_факт!EJ17</f>
        <v>909097.93</v>
      </c>
      <c r="IP19" s="471">
        <f t="shared" si="63"/>
        <v>187607.71000000002</v>
      </c>
      <c r="IQ19" s="760">
        <v>52530.42</v>
      </c>
      <c r="IR19" s="708">
        <v>135077.29</v>
      </c>
      <c r="IS19" s="471">
        <f t="shared" si="64"/>
        <v>1547700.3</v>
      </c>
      <c r="IT19" s="529">
        <f>[1]Субсидия_факт!EF17</f>
        <v>433358.22</v>
      </c>
      <c r="IU19" s="789">
        <f>[1]Субсидия_факт!EL17</f>
        <v>1114342.08</v>
      </c>
      <c r="IV19" s="471">
        <f t="shared" si="65"/>
        <v>1547700.3</v>
      </c>
      <c r="IW19" s="793">
        <f>IT19</f>
        <v>433358.22</v>
      </c>
      <c r="IX19" s="830">
        <f>IU19</f>
        <v>1114342.08</v>
      </c>
      <c r="IY19" s="697">
        <f t="shared" si="66"/>
        <v>664803.04</v>
      </c>
      <c r="IZ19" s="787">
        <f>'План и исполнение'!IT19-'План и исполнение'!JF19</f>
        <v>186145.76999999996</v>
      </c>
      <c r="JA19" s="706">
        <f>'План и исполнение'!IU19-'План и исполнение'!JG19</f>
        <v>478657.27</v>
      </c>
      <c r="JB19" s="691">
        <f t="shared" si="67"/>
        <v>664803.04</v>
      </c>
      <c r="JC19" s="793">
        <f>'План и исполнение'!IW19-'План и исполнение'!JI19</f>
        <v>186145.76999999996</v>
      </c>
      <c r="JD19" s="804">
        <f>'План и исполнение'!IX19-'План и исполнение'!JJ19</f>
        <v>478657.27</v>
      </c>
      <c r="JE19" s="697">
        <f t="shared" si="68"/>
        <v>882897.26</v>
      </c>
      <c r="JF19" s="529">
        <f>[1]Субсидия_факт!EH17</f>
        <v>247212.45</v>
      </c>
      <c r="JG19" s="896">
        <f>[1]Субсидия_факт!EN17</f>
        <v>635684.81000000006</v>
      </c>
      <c r="JH19" s="697">
        <f t="shared" si="69"/>
        <v>882897.26</v>
      </c>
      <c r="JI19" s="1374">
        <f>JF19</f>
        <v>247212.45</v>
      </c>
      <c r="JJ19" s="789">
        <f>JG19</f>
        <v>635684.81000000006</v>
      </c>
      <c r="JK19" s="471">
        <f t="shared" si="70"/>
        <v>0</v>
      </c>
      <c r="JL19" s="793">
        <f>[1]Субсидия_факт!AR17</f>
        <v>0</v>
      </c>
      <c r="JM19" s="706">
        <f>[1]Субсидия_факт!AT17</f>
        <v>0</v>
      </c>
      <c r="JN19" s="471">
        <f t="shared" si="71"/>
        <v>0</v>
      </c>
      <c r="JO19" s="650"/>
      <c r="JP19" s="708"/>
      <c r="JQ19" s="785">
        <f t="shared" si="72"/>
        <v>0</v>
      </c>
      <c r="JR19" s="793">
        <f>[1]Субсидия_факт!CJ17</f>
        <v>0</v>
      </c>
      <c r="JS19" s="706">
        <f>[1]Субсидия_факт!CP17</f>
        <v>0</v>
      </c>
      <c r="JT19" s="529">
        <f>[1]Субсидия_факт!DN17</f>
        <v>0</v>
      </c>
      <c r="JU19" s="896">
        <f>[1]Субсидия_факт!DT17</f>
        <v>0</v>
      </c>
      <c r="JV19" s="471">
        <f t="shared" si="73"/>
        <v>0</v>
      </c>
      <c r="JW19" s="650"/>
      <c r="JX19" s="708"/>
      <c r="JY19" s="650"/>
      <c r="JZ19" s="892"/>
      <c r="KA19" s="785">
        <f t="shared" si="74"/>
        <v>31500000</v>
      </c>
      <c r="KB19" s="793">
        <f>[1]Субсидия_факт!CL17</f>
        <v>8820000</v>
      </c>
      <c r="KC19" s="706">
        <f>[1]Субсидия_факт!CR17</f>
        <v>22680000</v>
      </c>
      <c r="KD19" s="529">
        <f>[1]Субсидия_факт!DP17</f>
        <v>0</v>
      </c>
      <c r="KE19" s="896">
        <f>[1]Субсидия_факт!DV17</f>
        <v>0</v>
      </c>
      <c r="KF19" s="471">
        <f t="shared" si="75"/>
        <v>3872089.07</v>
      </c>
      <c r="KG19" s="650">
        <v>1084184.94</v>
      </c>
      <c r="KH19" s="708">
        <v>2787904.13</v>
      </c>
      <c r="KI19" s="809"/>
      <c r="KJ19" s="708"/>
      <c r="KK19" s="788">
        <f t="shared" si="76"/>
        <v>31500000</v>
      </c>
      <c r="KL19" s="793">
        <f>'План и исполнение'!KB19-KV19</f>
        <v>8820000</v>
      </c>
      <c r="KM19" s="706">
        <f>'План и исполнение'!KC19-KW19</f>
        <v>22680000</v>
      </c>
      <c r="KN19" s="787">
        <f>'План и исполнение'!KD19-KX19</f>
        <v>0</v>
      </c>
      <c r="KO19" s="706">
        <f>'План и исполнение'!KE19-KY19</f>
        <v>0</v>
      </c>
      <c r="KP19" s="788">
        <f t="shared" si="77"/>
        <v>3872089.07</v>
      </c>
      <c r="KQ19" s="793">
        <f>'План и исполнение'!KG19-LA19</f>
        <v>1084184.94</v>
      </c>
      <c r="KR19" s="830">
        <f>'План и исполнение'!KH19-LB19</f>
        <v>2787904.13</v>
      </c>
      <c r="KS19" s="793">
        <f>'План и исполнение'!KI19-LC19</f>
        <v>0</v>
      </c>
      <c r="KT19" s="804">
        <f>'План и исполнение'!KJ19-LD19</f>
        <v>0</v>
      </c>
      <c r="KU19" s="697">
        <f t="shared" si="78"/>
        <v>0</v>
      </c>
      <c r="KV19" s="793">
        <f>[1]Субсидия_факт!CN17</f>
        <v>0</v>
      </c>
      <c r="KW19" s="706">
        <f>[1]Субсидия_факт!CT17</f>
        <v>0</v>
      </c>
      <c r="KX19" s="529">
        <f>[1]Субсидия_факт!DR17</f>
        <v>0</v>
      </c>
      <c r="KY19" s="896">
        <f>[1]Субсидия_факт!DX17</f>
        <v>0</v>
      </c>
      <c r="KZ19" s="697">
        <f t="shared" si="79"/>
        <v>0</v>
      </c>
      <c r="LA19" s="650"/>
      <c r="LB19" s="708"/>
      <c r="LC19" s="531"/>
      <c r="LD19" s="1639"/>
      <c r="LE19" s="504">
        <f t="shared" si="168"/>
        <v>0</v>
      </c>
      <c r="LF19" s="529">
        <f>[1]Субсидия_факт!CD17</f>
        <v>0</v>
      </c>
      <c r="LG19" s="789">
        <f>[1]Субсидия_факт!CF17</f>
        <v>0</v>
      </c>
      <c r="LH19" s="529">
        <f>[1]Субсидия_факт!BV17</f>
        <v>0</v>
      </c>
      <c r="LI19" s="789">
        <f>[1]Субсидия_факт!BX17</f>
        <v>0</v>
      </c>
      <c r="LJ19" s="529">
        <f>[1]Субсидия_факт!CH17</f>
        <v>0</v>
      </c>
      <c r="LK19" s="471">
        <f t="shared" si="169"/>
        <v>0</v>
      </c>
      <c r="LL19" s="650"/>
      <c r="LM19" s="708"/>
      <c r="LN19" s="650"/>
      <c r="LO19" s="708"/>
      <c r="LP19" s="650"/>
      <c r="LQ19" s="504">
        <f t="shared" si="80"/>
        <v>0</v>
      </c>
      <c r="LR19" s="516">
        <f>[1]Субсидия_факт!HN17</f>
        <v>0</v>
      </c>
      <c r="LS19" s="529">
        <f>[1]Субсидия_факт!HL17</f>
        <v>0</v>
      </c>
      <c r="LT19" s="541">
        <f>[1]Субсидия_факт!HV17</f>
        <v>0</v>
      </c>
      <c r="LU19" s="721">
        <f>[1]Субсидия_факт!HX17</f>
        <v>0</v>
      </c>
      <c r="LV19" s="471">
        <f t="shared" si="81"/>
        <v>0</v>
      </c>
      <c r="LW19" s="344"/>
      <c r="LX19" s="650"/>
      <c r="LY19" s="479"/>
      <c r="LZ19" s="717"/>
      <c r="MA19" s="471">
        <f t="shared" si="82"/>
        <v>0</v>
      </c>
      <c r="MB19" s="531">
        <f>[1]Субсидия_факт!HT17</f>
        <v>0</v>
      </c>
      <c r="MC19" s="531">
        <f>[1]Субсидия_факт!HP17</f>
        <v>0</v>
      </c>
      <c r="MD19" s="789">
        <f>[1]Субсидия_факт!HR17</f>
        <v>0</v>
      </c>
      <c r="ME19" s="471">
        <f t="shared" si="83"/>
        <v>0</v>
      </c>
      <c r="MF19" s="793">
        <f t="shared" si="170"/>
        <v>0</v>
      </c>
      <c r="MG19" s="650"/>
      <c r="MH19" s="708"/>
      <c r="MI19" s="893">
        <f t="shared" si="84"/>
        <v>0</v>
      </c>
      <c r="MJ19" s="893">
        <f t="shared" si="85"/>
        <v>0</v>
      </c>
      <c r="MK19" s="695">
        <f t="shared" si="86"/>
        <v>0</v>
      </c>
      <c r="ML19" s="1028">
        <f t="shared" si="87"/>
        <v>0</v>
      </c>
      <c r="MM19" s="791">
        <f t="shared" si="216"/>
        <v>0</v>
      </c>
      <c r="MN19" s="529">
        <f>[1]Субсидия_факт!LH17</f>
        <v>0</v>
      </c>
      <c r="MO19" s="896">
        <f>[1]Субсидия_факт!LN17</f>
        <v>0</v>
      </c>
      <c r="MP19" s="531"/>
      <c r="MQ19" s="791">
        <f t="shared" si="171"/>
        <v>0</v>
      </c>
      <c r="MR19" s="809"/>
      <c r="MS19" s="708"/>
      <c r="MT19" s="531"/>
      <c r="MU19" s="791">
        <f t="shared" si="172"/>
        <v>26557754</v>
      </c>
      <c r="MV19" s="529">
        <f>[1]Субсидия_факт!LJ17</f>
        <v>870000</v>
      </c>
      <c r="MW19" s="896">
        <f>[1]Субсидия_факт!LP17</f>
        <v>16530000</v>
      </c>
      <c r="MX19" s="531">
        <f>[1]Субсидия_факт!LT17</f>
        <v>9157754</v>
      </c>
      <c r="MY19" s="791">
        <f t="shared" si="173"/>
        <v>9879859.2699999996</v>
      </c>
      <c r="MZ19" s="650">
        <v>37605.26</v>
      </c>
      <c r="NA19" s="808">
        <v>714500.01</v>
      </c>
      <c r="NB19" s="650">
        <v>9127754</v>
      </c>
      <c r="NC19" s="792">
        <f t="shared" si="175"/>
        <v>9157754</v>
      </c>
      <c r="ND19" s="680">
        <f>'План и исполнение'!MV19-NL19</f>
        <v>0</v>
      </c>
      <c r="NE19" s="713">
        <f>'План и исполнение'!MW19-NM19</f>
        <v>0</v>
      </c>
      <c r="NF19" s="647">
        <f>'План и исполнение'!MX19-NN19</f>
        <v>9157754</v>
      </c>
      <c r="NG19" s="792">
        <f t="shared" si="176"/>
        <v>9127754</v>
      </c>
      <c r="NH19" s="787">
        <f>'План и исполнение'!MZ19-NP19</f>
        <v>0</v>
      </c>
      <c r="NI19" s="706">
        <f>'План и исполнение'!NA19-NQ19</f>
        <v>0</v>
      </c>
      <c r="NJ19" s="793">
        <f>'План и исполнение'!NB19-NR19</f>
        <v>9127754</v>
      </c>
      <c r="NK19" s="792">
        <f t="shared" si="177"/>
        <v>17400000</v>
      </c>
      <c r="NL19" s="529">
        <f>[1]Субсидия_факт!LL17</f>
        <v>870000</v>
      </c>
      <c r="NM19" s="896">
        <f>[1]Субсидия_факт!LR17</f>
        <v>16530000</v>
      </c>
      <c r="NN19" s="529">
        <f>[1]Субсидия_факт!LV17</f>
        <v>0</v>
      </c>
      <c r="NO19" s="792">
        <f t="shared" si="178"/>
        <v>752105.27</v>
      </c>
      <c r="NP19" s="787">
        <f t="shared" si="179"/>
        <v>37605.26</v>
      </c>
      <c r="NQ19" s="706">
        <f t="shared" si="180"/>
        <v>714500.01</v>
      </c>
      <c r="NR19" s="529">
        <f t="shared" si="215"/>
        <v>0</v>
      </c>
      <c r="NS19" s="535">
        <f t="shared" si="181"/>
        <v>0</v>
      </c>
      <c r="NT19" s="1285">
        <f>[1]Субсидия_факт!NF17</f>
        <v>0</v>
      </c>
      <c r="NU19" s="713">
        <f>[1]Субсидия_факт!NH17</f>
        <v>0</v>
      </c>
      <c r="NV19" s="535">
        <f t="shared" si="182"/>
        <v>0</v>
      </c>
      <c r="NW19" s="344"/>
      <c r="NX19" s="739"/>
      <c r="NY19" s="535">
        <f t="shared" si="183"/>
        <v>5333880.3000000007</v>
      </c>
      <c r="NZ19" s="1194">
        <f>[1]Субсидия_факт!LX17</f>
        <v>0</v>
      </c>
      <c r="OA19" s="1295">
        <f>[1]Субсидия_факт!MB17</f>
        <v>0</v>
      </c>
      <c r="OB19" s="1194">
        <f>[1]Субсидия_факт!MF17</f>
        <v>1493486.4700000002</v>
      </c>
      <c r="OC19" s="713">
        <f>[1]Субсидия_факт!MJ17</f>
        <v>3840393.83</v>
      </c>
      <c r="OD19" s="1285">
        <f>[1]Субсидия_факт!NJ17</f>
        <v>0</v>
      </c>
      <c r="OE19" s="713">
        <f>[1]Субсидия_факт!NN17</f>
        <v>0</v>
      </c>
      <c r="OF19" s="535">
        <f t="shared" si="184"/>
        <v>0</v>
      </c>
      <c r="OG19" s="493"/>
      <c r="OH19" s="746"/>
      <c r="OI19" s="344"/>
      <c r="OJ19" s="739"/>
      <c r="OK19" s="493"/>
      <c r="OL19" s="746"/>
      <c r="OM19" s="610">
        <f t="shared" si="185"/>
        <v>5333880.3000000007</v>
      </c>
      <c r="ON19" s="1194">
        <f t="shared" si="88"/>
        <v>0</v>
      </c>
      <c r="OO19" s="713">
        <f t="shared" si="89"/>
        <v>0</v>
      </c>
      <c r="OP19" s="493">
        <f t="shared" si="90"/>
        <v>1493486.4700000002</v>
      </c>
      <c r="OQ19" s="713">
        <f t="shared" si="91"/>
        <v>3840393.83</v>
      </c>
      <c r="OR19" s="1285">
        <f t="shared" si="92"/>
        <v>0</v>
      </c>
      <c r="OS19" s="713">
        <f t="shared" si="93"/>
        <v>0</v>
      </c>
      <c r="OT19" s="610">
        <f t="shared" si="186"/>
        <v>0</v>
      </c>
      <c r="OU19" s="1194">
        <f t="shared" si="94"/>
        <v>0</v>
      </c>
      <c r="OV19" s="713">
        <f t="shared" si="95"/>
        <v>0</v>
      </c>
      <c r="OW19" s="493">
        <f t="shared" si="96"/>
        <v>0</v>
      </c>
      <c r="OX19" s="713">
        <f t="shared" si="97"/>
        <v>0</v>
      </c>
      <c r="OY19" s="1285">
        <f t="shared" si="98"/>
        <v>0</v>
      </c>
      <c r="OZ19" s="713">
        <f t="shared" si="99"/>
        <v>0</v>
      </c>
      <c r="PA19" s="610">
        <f t="shared" si="187"/>
        <v>0</v>
      </c>
      <c r="PB19" s="1194">
        <f>[1]Субсидия_факт!LZ17</f>
        <v>0</v>
      </c>
      <c r="PC19" s="1295">
        <f>[1]Субсидия_факт!MD17</f>
        <v>0</v>
      </c>
      <c r="PD19" s="1194">
        <f>[1]Субсидия_факт!MH17</f>
        <v>0</v>
      </c>
      <c r="PE19" s="713">
        <f>[1]Субсидия_факт!ML17</f>
        <v>0</v>
      </c>
      <c r="PF19" s="991">
        <f>[1]Субсидия_факт!NL17</f>
        <v>0</v>
      </c>
      <c r="PG19" s="801">
        <f>[1]Субсидия_факт!NP17</f>
        <v>0</v>
      </c>
      <c r="PH19" s="610">
        <f t="shared" si="188"/>
        <v>0</v>
      </c>
      <c r="PI19" s="991"/>
      <c r="PJ19" s="746"/>
      <c r="PK19" s="493"/>
      <c r="PL19" s="746"/>
      <c r="PM19" s="493"/>
      <c r="PN19" s="746"/>
      <c r="PO19" s="504">
        <f t="shared" si="100"/>
        <v>0</v>
      </c>
      <c r="PP19" s="529">
        <f>[1]Субсидия_факт!AF17</f>
        <v>0</v>
      </c>
      <c r="PQ19" s="896">
        <f>[1]Субсидия_факт!AH17</f>
        <v>0</v>
      </c>
      <c r="PR19" s="471">
        <f t="shared" si="101"/>
        <v>0</v>
      </c>
      <c r="PS19" s="809"/>
      <c r="PT19" s="708"/>
      <c r="PU19" s="535">
        <f t="shared" si="102"/>
        <v>0</v>
      </c>
      <c r="PV19" s="673">
        <f>[1]Субсидия_факт!MN17</f>
        <v>0</v>
      </c>
      <c r="PW19" s="814">
        <f>[1]Субсидия_факт!MP17</f>
        <v>0</v>
      </c>
      <c r="PX19" s="535">
        <f t="shared" si="103"/>
        <v>0</v>
      </c>
      <c r="PY19" s="1377"/>
      <c r="PZ19" s="717"/>
      <c r="QA19" s="535">
        <f t="shared" si="104"/>
        <v>0</v>
      </c>
      <c r="QB19" s="1194">
        <f>[1]Субсидия_факт!MR17</f>
        <v>0</v>
      </c>
      <c r="QC19" s="713">
        <f>[1]Субсидия_факт!MV17</f>
        <v>0</v>
      </c>
      <c r="QD19" s="535">
        <f t="shared" si="105"/>
        <v>0</v>
      </c>
      <c r="QE19" s="479"/>
      <c r="QF19" s="717"/>
      <c r="QG19" s="610">
        <f t="shared" si="106"/>
        <v>0</v>
      </c>
      <c r="QH19" s="1194">
        <f t="shared" si="107"/>
        <v>0</v>
      </c>
      <c r="QI19" s="713">
        <f t="shared" si="108"/>
        <v>0</v>
      </c>
      <c r="QJ19" s="610">
        <f t="shared" si="109"/>
        <v>0</v>
      </c>
      <c r="QK19" s="1194">
        <f t="shared" si="110"/>
        <v>0</v>
      </c>
      <c r="QL19" s="713">
        <f t="shared" si="111"/>
        <v>0</v>
      </c>
      <c r="QM19" s="610">
        <f t="shared" si="112"/>
        <v>0</v>
      </c>
      <c r="QN19" s="1210">
        <f>[1]Субсидия_факт!MT17</f>
        <v>0</v>
      </c>
      <c r="QO19" s="713">
        <f>[1]Субсидия_факт!MX17</f>
        <v>0</v>
      </c>
      <c r="QP19" s="610">
        <f t="shared" si="113"/>
        <v>0</v>
      </c>
      <c r="QQ19" s="479"/>
      <c r="QR19" s="717"/>
      <c r="QS19" s="535">
        <f>'Прочая  субсидия_МР  и  ГО'!B15</f>
        <v>19496325.939999998</v>
      </c>
      <c r="QT19" s="535">
        <f>'Прочая  субсидия_МР  и  ГО'!C15</f>
        <v>5792109.620000001</v>
      </c>
      <c r="QU19" s="540">
        <f>'Прочая  субсидия_БП'!B15</f>
        <v>10041441.99</v>
      </c>
      <c r="QV19" s="542">
        <f>'Прочая  субсидия_БП'!C15</f>
        <v>2047071.0399999998</v>
      </c>
      <c r="QW19" s="605">
        <f>'Прочая  субсидия_БП'!D15</f>
        <v>9394519.1899999995</v>
      </c>
      <c r="QX19" s="604">
        <f>'Прочая  субсидия_БП'!E15</f>
        <v>1946523.2399999998</v>
      </c>
      <c r="QY19" s="611">
        <f>'Прочая  субсидия_БП'!F15</f>
        <v>646922.80000000005</v>
      </c>
      <c r="QZ19" s="605">
        <f>'Прочая  субсидия_БП'!G15</f>
        <v>100547.79999999999</v>
      </c>
      <c r="RA19" s="542">
        <f t="shared" si="189"/>
        <v>288888523</v>
      </c>
      <c r="RB19" s="469">
        <f>'План и исполнение'!RZ19+'План и исполнение'!RG19+'План и исполнение'!RI19+'План и исполнение'!RK19</f>
        <v>283684056</v>
      </c>
      <c r="RC19" s="343">
        <f>'План и исполнение'!SB19+'План и исполнение'!RM19+'План и исполнение'!RS19+'План и исполнение'!RO19+'План и исполнение'!RQ19+RU19+RW19+SA19</f>
        <v>5204467</v>
      </c>
      <c r="RD19" s="534">
        <f t="shared" si="190"/>
        <v>205400834.25</v>
      </c>
      <c r="RE19" s="541">
        <f>'План и исполнение'!SD19+'План и исполнение'!RH19+'План и исполнение'!RJ19+'План и исполнение'!RL19</f>
        <v>202277185</v>
      </c>
      <c r="RF19" s="343">
        <f>'План и исполнение'!SF19+'План и исполнение'!RN19+'План и исполнение'!RT19+'План и исполнение'!RP19+'План и исполнение'!RR19+RV19+RX19+SE19</f>
        <v>3123649.25</v>
      </c>
      <c r="RG19" s="599">
        <f>'Субвенция  на  полномочия'!B15</f>
        <v>267812356</v>
      </c>
      <c r="RH19" s="471">
        <f>'Субвенция  на  полномочия'!C15</f>
        <v>192492185</v>
      </c>
      <c r="RI19" s="768">
        <f>[1]Субвенция_факт!P16*1000</f>
        <v>10851200</v>
      </c>
      <c r="RJ19" s="771">
        <v>5640000</v>
      </c>
      <c r="RK19" s="768">
        <f>[1]Субвенция_факт!K16*1000</f>
        <v>3779600</v>
      </c>
      <c r="RL19" s="771">
        <v>3396000</v>
      </c>
      <c r="RM19" s="768">
        <f>[1]Субвенция_факт!AF16*1000</f>
        <v>1736800</v>
      </c>
      <c r="RN19" s="771">
        <v>799242.07</v>
      </c>
      <c r="RO19" s="768">
        <f>[1]Субвенция_факт!AG16*1000</f>
        <v>3200</v>
      </c>
      <c r="RP19" s="771">
        <v>3200</v>
      </c>
      <c r="RQ19" s="768">
        <f>[1]Субвенция_факт!E16*1000</f>
        <v>0</v>
      </c>
      <c r="RR19" s="771"/>
      <c r="RS19" s="768">
        <f>[1]Субвенция_факт!F16*1000</f>
        <v>714467</v>
      </c>
      <c r="RT19" s="877">
        <v>674244</v>
      </c>
      <c r="RU19" s="168">
        <f>[1]Субвенция_факт!G16*1000</f>
        <v>0</v>
      </c>
      <c r="RV19" s="1241"/>
      <c r="RW19" s="168">
        <f>[1]Субвенция_факт!H16*1000</f>
        <v>0</v>
      </c>
      <c r="RX19" s="878"/>
      <c r="RY19" s="504">
        <f t="shared" si="191"/>
        <v>3990900</v>
      </c>
      <c r="RZ19" s="887">
        <f>[1]Субвенция_факт!AE16*1000</f>
        <v>1240900</v>
      </c>
      <c r="SA19" s="882">
        <f>[1]Субвенция_факт!AD16*1000</f>
        <v>0</v>
      </c>
      <c r="SB19" s="1158">
        <f>[1]Субвенция_факт!AC16*1000</f>
        <v>2750000</v>
      </c>
      <c r="SC19" s="535">
        <f t="shared" si="116"/>
        <v>2395963.1799999997</v>
      </c>
      <c r="SD19" s="974">
        <v>749000</v>
      </c>
      <c r="SE19" s="1645"/>
      <c r="SF19" s="1652">
        <v>1646963.18</v>
      </c>
      <c r="SG19" s="279">
        <f>'План и исполнение'!VI19+'План и исполнение'!VA19+'План и исполнение'!TA19+'План и исполнение'!TE19+UO19+UU19+SO19+SS19+TM19+TQ19+UE19+SI19+TY19</f>
        <v>0</v>
      </c>
      <c r="SH19" s="168">
        <f>'План и исполнение'!VK19+'План и исполнение'!VE19+'План и исполнение'!TC19+'План и исполнение'!TG19+UR19+UX19+SQ19+SU19+TO19+TS19+UH19+SL19+UB19</f>
        <v>0</v>
      </c>
      <c r="SI19" s="540">
        <f t="shared" si="117"/>
        <v>0</v>
      </c>
      <c r="SJ19" s="887">
        <f>'[1]Иные межбюджетные трансферты'!E17</f>
        <v>0</v>
      </c>
      <c r="SK19" s="945">
        <f>'[1]Иные межбюджетные трансферты'!G17</f>
        <v>0</v>
      </c>
      <c r="SL19" s="535">
        <f t="shared" si="118"/>
        <v>0</v>
      </c>
      <c r="SM19" s="1323"/>
      <c r="SN19" s="1464"/>
      <c r="SO19" s="1335">
        <f t="shared" si="192"/>
        <v>0</v>
      </c>
      <c r="SP19" s="1115">
        <f>'[1]Иные межбюджетные трансферты'!W17</f>
        <v>0</v>
      </c>
      <c r="SQ19" s="1333">
        <f t="shared" si="193"/>
        <v>0</v>
      </c>
      <c r="SR19" s="1334"/>
      <c r="SS19" s="1336">
        <f t="shared" si="194"/>
        <v>0</v>
      </c>
      <c r="ST19" s="1115">
        <f>'[1]Иные межбюджетные трансферты'!Y17</f>
        <v>0</v>
      </c>
      <c r="SU19" s="1344">
        <f t="shared" si="195"/>
        <v>0</v>
      </c>
      <c r="SV19" s="1334"/>
      <c r="SW19" s="1336">
        <f t="shared" si="196"/>
        <v>0</v>
      </c>
      <c r="SX19" s="1344">
        <f t="shared" si="197"/>
        <v>0</v>
      </c>
      <c r="SY19" s="1355">
        <f t="shared" si="198"/>
        <v>0</v>
      </c>
      <c r="SZ19" s="1344">
        <f t="shared" si="199"/>
        <v>0</v>
      </c>
      <c r="TA19" s="1350">
        <f t="shared" si="119"/>
        <v>0</v>
      </c>
      <c r="TB19" s="1115">
        <f>'[1]Иные межбюджетные трансферты'!AC17</f>
        <v>0</v>
      </c>
      <c r="TC19" s="965">
        <f t="shared" si="120"/>
        <v>0</v>
      </c>
      <c r="TD19" s="945"/>
      <c r="TE19" s="971">
        <f t="shared" si="121"/>
        <v>0</v>
      </c>
      <c r="TF19" s="1115">
        <f>'[1]Иные межбюджетные трансферты'!AE17</f>
        <v>0</v>
      </c>
      <c r="TG19" s="965">
        <f t="shared" si="122"/>
        <v>0</v>
      </c>
      <c r="TH19" s="1214"/>
      <c r="TI19" s="968">
        <f t="shared" si="123"/>
        <v>0</v>
      </c>
      <c r="TJ19" s="962">
        <f t="shared" si="124"/>
        <v>0</v>
      </c>
      <c r="TK19" s="1219">
        <f t="shared" si="200"/>
        <v>0</v>
      </c>
      <c r="TL19" s="962">
        <f t="shared" si="201"/>
        <v>0</v>
      </c>
      <c r="TM19" s="971">
        <f t="shared" si="125"/>
        <v>0</v>
      </c>
      <c r="TN19" s="1115">
        <f>'[1]Иные межбюджетные трансферты'!AI17</f>
        <v>0</v>
      </c>
      <c r="TO19" s="965">
        <f t="shared" si="126"/>
        <v>0</v>
      </c>
      <c r="TP19" s="945"/>
      <c r="TQ19" s="971">
        <f t="shared" si="127"/>
        <v>0</v>
      </c>
      <c r="TR19" s="1115">
        <f>'[1]Иные межбюджетные трансферты'!AK17</f>
        <v>0</v>
      </c>
      <c r="TS19" s="965">
        <f t="shared" si="128"/>
        <v>0</v>
      </c>
      <c r="TT19" s="1214"/>
      <c r="TU19" s="968">
        <f t="shared" si="129"/>
        <v>0</v>
      </c>
      <c r="TV19" s="962">
        <f t="shared" si="130"/>
        <v>0</v>
      </c>
      <c r="TW19" s="1219">
        <f t="shared" si="202"/>
        <v>0</v>
      </c>
      <c r="TX19" s="968">
        <f t="shared" si="203"/>
        <v>0</v>
      </c>
      <c r="TY19" s="971">
        <f t="shared" si="204"/>
        <v>0</v>
      </c>
      <c r="TZ19" s="1210"/>
      <c r="UA19" s="713"/>
      <c r="UB19" s="971">
        <f t="shared" si="205"/>
        <v>0</v>
      </c>
      <c r="UC19" s="810"/>
      <c r="UD19" s="717"/>
      <c r="UE19" s="971">
        <f t="shared" si="206"/>
        <v>0</v>
      </c>
      <c r="UF19" s="1210">
        <f>'[1]Иные межбюджетные трансферты'!AS17</f>
        <v>0</v>
      </c>
      <c r="UG19" s="713">
        <f>'[1]Иные межбюджетные трансферты'!AW17</f>
        <v>0</v>
      </c>
      <c r="UH19" s="965">
        <f t="shared" si="207"/>
        <v>0</v>
      </c>
      <c r="UI19" s="1484"/>
      <c r="UJ19" s="804"/>
      <c r="UK19" s="865">
        <f t="shared" si="208"/>
        <v>0</v>
      </c>
      <c r="UL19" s="865">
        <f t="shared" si="209"/>
        <v>0</v>
      </c>
      <c r="UM19" s="865">
        <f t="shared" si="210"/>
        <v>0</v>
      </c>
      <c r="UN19" s="1493">
        <f t="shared" si="211"/>
        <v>0</v>
      </c>
      <c r="UO19" s="1267">
        <f t="shared" si="131"/>
        <v>0</v>
      </c>
      <c r="UP19" s="1029">
        <f>'[1]Иные межбюджетные трансферты'!S17</f>
        <v>0</v>
      </c>
      <c r="UQ19" s="1266">
        <f>'[1]Иные межбюджетные трансферты'!U17</f>
        <v>0</v>
      </c>
      <c r="UR19" s="769">
        <f t="shared" si="132"/>
        <v>0</v>
      </c>
      <c r="US19" s="1029"/>
      <c r="UT19" s="1266"/>
      <c r="UU19" s="1267">
        <f t="shared" si="133"/>
        <v>0</v>
      </c>
      <c r="UV19" s="1029">
        <f>'[1]Иные межбюджетные трансферты'!O17</f>
        <v>0</v>
      </c>
      <c r="UW19" s="1266">
        <f>'[1]Иные межбюджетные трансферты'!Q17</f>
        <v>0</v>
      </c>
      <c r="UX19" s="769">
        <f t="shared" si="134"/>
        <v>0</v>
      </c>
      <c r="UY19" s="1029"/>
      <c r="UZ19" s="1266"/>
      <c r="VA19" s="888">
        <f t="shared" si="212"/>
        <v>0</v>
      </c>
      <c r="VB19" s="887">
        <f>'[1]Иные межбюджетные трансферты'!I17</f>
        <v>0</v>
      </c>
      <c r="VC19" s="945">
        <f>'[1]Иные межбюджетные трансферты'!K17</f>
        <v>0</v>
      </c>
      <c r="VD19" s="1158">
        <f>'[1]Иные межбюджетные трансферты'!M17</f>
        <v>0</v>
      </c>
      <c r="VE19" s="888">
        <f t="shared" si="213"/>
        <v>0</v>
      </c>
      <c r="VF19" s="980"/>
      <c r="VG19" s="978"/>
      <c r="VH19" s="1323"/>
      <c r="VI19" s="528">
        <f t="shared" si="135"/>
        <v>0</v>
      </c>
      <c r="VJ19" s="882"/>
      <c r="VK19" s="888">
        <f t="shared" si="136"/>
        <v>0</v>
      </c>
      <c r="VL19" s="531"/>
      <c r="VM19" s="893">
        <f t="shared" si="137"/>
        <v>0</v>
      </c>
      <c r="VN19" s="529"/>
      <c r="VO19" s="893">
        <f t="shared" si="138"/>
        <v>0</v>
      </c>
      <c r="VP19" s="529"/>
      <c r="VQ19" s="893">
        <f t="shared" si="139"/>
        <v>0</v>
      </c>
      <c r="VR19" s="882"/>
      <c r="VS19" s="1028">
        <f t="shared" si="140"/>
        <v>0</v>
      </c>
      <c r="VT19" s="531"/>
      <c r="VU19" s="535">
        <f>VW19+'План и исполнение'!WE19+WA19+'План и исполнение'!WI19+WC19+'План и исполнение'!WK19</f>
        <v>0</v>
      </c>
      <c r="VV19" s="535">
        <f>VX19+'План и исполнение'!WF19+WB19+'План и исполнение'!WJ19+WD19+'План и исполнение'!WL19</f>
        <v>0</v>
      </c>
      <c r="VW19" s="549"/>
      <c r="VX19" s="549"/>
      <c r="VY19" s="549"/>
      <c r="VZ19" s="549"/>
      <c r="WA19" s="546">
        <f t="shared" si="141"/>
        <v>0</v>
      </c>
      <c r="WB19" s="544">
        <f t="shared" si="142"/>
        <v>0</v>
      </c>
      <c r="WC19" s="550"/>
      <c r="WD19" s="539"/>
      <c r="WE19" s="549">
        <v>0</v>
      </c>
      <c r="WF19" s="549"/>
      <c r="WG19" s="549">
        <v>0</v>
      </c>
      <c r="WH19" s="549"/>
      <c r="WI19" s="546">
        <f t="shared" si="143"/>
        <v>0</v>
      </c>
      <c r="WJ19" s="544">
        <f t="shared" si="144"/>
        <v>0</v>
      </c>
      <c r="WK19" s="539"/>
      <c r="WL19" s="539"/>
      <c r="WM19" s="1547">
        <f>'План и исполнение'!WE19+'План и исполнение'!WG19</f>
        <v>0</v>
      </c>
      <c r="WN19" s="1547">
        <f>'План и исполнение'!WF19+'План и исполнение'!WH19</f>
        <v>0</v>
      </c>
      <c r="WO19" s="1154"/>
    </row>
    <row r="20" spans="1:613" s="340" customFormat="1" ht="25.5" customHeight="1" x14ac:dyDescent="0.3">
      <c r="A20" s="350" t="s">
        <v>87</v>
      </c>
      <c r="B20" s="542">
        <f>D20+AI20+'План и исполнение'!RA20+'План и исполнение'!SG20</f>
        <v>639631391.96000004</v>
      </c>
      <c r="C20" s="535">
        <f>E20+'План и исполнение'!RD20+AJ20+'План и исполнение'!SH20</f>
        <v>245650430.39999998</v>
      </c>
      <c r="D20" s="540">
        <f t="shared" si="0"/>
        <v>188596100</v>
      </c>
      <c r="E20" s="542">
        <f t="shared" si="1"/>
        <v>81511433.75999999</v>
      </c>
      <c r="F20" s="603">
        <f>'[1]Дотация  из  ОБ_факт'!M16</f>
        <v>137296600</v>
      </c>
      <c r="G20" s="1551">
        <v>51504656</v>
      </c>
      <c r="H20" s="1556">
        <f>'[1]Дотация  из  ОБ_факт'!G16</f>
        <v>18794000</v>
      </c>
      <c r="I20" s="1551">
        <v>10659051.07</v>
      </c>
      <c r="J20" s="604">
        <f t="shared" si="2"/>
        <v>18794000</v>
      </c>
      <c r="K20" s="611">
        <f t="shared" si="3"/>
        <v>10659051.07</v>
      </c>
      <c r="L20" s="891">
        <f>'[1]Дотация  из  ОБ_факт'!K16</f>
        <v>0</v>
      </c>
      <c r="M20" s="782"/>
      <c r="N20" s="603">
        <f>'[1]Дотация  из  ОБ_факт'!Q16</f>
        <v>790500</v>
      </c>
      <c r="O20" s="1054">
        <v>790500</v>
      </c>
      <c r="P20" s="603">
        <f>'[1]Дотация  из  ОБ_факт'!S16</f>
        <v>30515000</v>
      </c>
      <c r="Q20" s="1048">
        <v>18557226.690000001</v>
      </c>
      <c r="R20" s="611">
        <f t="shared" si="4"/>
        <v>30515000</v>
      </c>
      <c r="S20" s="605">
        <f t="shared" si="5"/>
        <v>18557226.690000001</v>
      </c>
      <c r="T20" s="891">
        <f>'[1]Дотация  из  ОБ_факт'!W16</f>
        <v>0</v>
      </c>
      <c r="U20" s="643"/>
      <c r="V20" s="603">
        <f>'[1]Дотация  из  ОБ_факт'!AA16+'[1]Дотация  из  ОБ_факт'!AC16+'[1]Дотация  из  ОБ_факт'!AG16</f>
        <v>1200000</v>
      </c>
      <c r="W20" s="465">
        <f t="shared" si="6"/>
        <v>0</v>
      </c>
      <c r="X20" s="607"/>
      <c r="Y20" s="606">
        <v>0</v>
      </c>
      <c r="Z20" s="607"/>
      <c r="AA20" s="603">
        <f>'[1]Дотация  из  ОБ_факт'!Y16+'[1]Дотация  из  ОБ_факт'!AE16</f>
        <v>0</v>
      </c>
      <c r="AB20" s="170">
        <f t="shared" si="7"/>
        <v>0</v>
      </c>
      <c r="AC20" s="606"/>
      <c r="AD20" s="607"/>
      <c r="AE20" s="604">
        <f t="shared" si="8"/>
        <v>0</v>
      </c>
      <c r="AF20" s="611">
        <f t="shared" si="9"/>
        <v>0</v>
      </c>
      <c r="AG20" s="604">
        <f>'[1]Дотация  из  ОБ_факт'!AE16</f>
        <v>0</v>
      </c>
      <c r="AH20" s="772"/>
      <c r="AI20" s="599">
        <f>'План и исполнение'!LQ20+'План и исполнение'!QS20+'План и исполнение'!QU20+CQ20+CS20+CY20+DA20+BS20+CA20+'План и исполнение'!JQ20+'План и исполнение'!KA20+'План и исполнение'!EC20+'План и исполнение'!LE20+DM20+'План и исполнение'!IM20+'План и исполнение'!IS20+'План и исполнение'!MM20+'План и исполнение'!MU20+IG20+'План и исполнение'!MA20+FK20+EY20+PO20+ES20+AK20+AU20+FE20+JK20+GG20+GQ20+DG20+PU20+FQ20+EI20+QA20+NY20+GA20+CM20+HU20+IA20+NS20</f>
        <v>235490592.96000001</v>
      </c>
      <c r="AJ20" s="504">
        <f>'План и исполнение'!LV20+'План и исполнение'!QT20+'План и исполнение'!QV20+CR20+CT20+CZ20+DB20+BW20+CE20+'План и исполнение'!JV20+'План и исполнение'!KF20+'План и исполнение'!EF20+'План и исполнение'!LK20+DU20+'План и исполнение'!IP20+'План и исполнение'!IV20+'План и исполнение'!MQ20+'План и исполнение'!MY20+IJ20+'План и исполнение'!ME20+FH20+FN20+FB20+PR20+EV20+AP20+AY20+JN20+GL20+GV20+DJ20+PX20+FT20+EN20+QD20+OF20+GD20+CO20+HX20+ID20+NV20</f>
        <v>38108370.980000004</v>
      </c>
      <c r="AK20" s="504">
        <f t="shared" si="10"/>
        <v>1635484.33</v>
      </c>
      <c r="AL20" s="343">
        <f>[1]Субсидия_факт!DB18</f>
        <v>0</v>
      </c>
      <c r="AM20" s="516">
        <f>[1]Субсидия_факт!FF18</f>
        <v>0</v>
      </c>
      <c r="AN20" s="514">
        <f>[1]Субсидия_факт!FR18</f>
        <v>0</v>
      </c>
      <c r="AO20" s="516">
        <f>[1]Субсидия_факт!MZ18</f>
        <v>1635484.33</v>
      </c>
      <c r="AP20" s="504">
        <f t="shared" si="11"/>
        <v>0</v>
      </c>
      <c r="AQ20" s="479"/>
      <c r="AR20" s="479"/>
      <c r="AS20" s="479"/>
      <c r="AT20" s="479"/>
      <c r="AU20" s="504">
        <f t="shared" si="12"/>
        <v>0</v>
      </c>
      <c r="AV20" s="469">
        <f>[1]Субсидия_факт!DD18</f>
        <v>0</v>
      </c>
      <c r="AW20" s="343">
        <f>[1]Субсидия_факт!FJ18</f>
        <v>0</v>
      </c>
      <c r="AX20" s="514">
        <f>[1]Субсидия_факт!NB18</f>
        <v>0</v>
      </c>
      <c r="AY20" s="504">
        <f t="shared" si="13"/>
        <v>0</v>
      </c>
      <c r="AZ20" s="547"/>
      <c r="BA20" s="547"/>
      <c r="BB20" s="548"/>
      <c r="BC20" s="697">
        <f t="shared" si="14"/>
        <v>0</v>
      </c>
      <c r="BD20" s="680">
        <f t="shared" si="15"/>
        <v>0</v>
      </c>
      <c r="BE20" s="469">
        <f t="shared" si="16"/>
        <v>0</v>
      </c>
      <c r="BF20" s="343">
        <f t="shared" si="17"/>
        <v>0</v>
      </c>
      <c r="BG20" s="697">
        <f t="shared" si="18"/>
        <v>0</v>
      </c>
      <c r="BH20" s="647">
        <f t="shared" si="19"/>
        <v>0</v>
      </c>
      <c r="BI20" s="514">
        <f t="shared" si="20"/>
        <v>0</v>
      </c>
      <c r="BJ20" s="343">
        <f t="shared" si="21"/>
        <v>0</v>
      </c>
      <c r="BK20" s="697">
        <f t="shared" si="22"/>
        <v>0</v>
      </c>
      <c r="BL20" s="469">
        <f>[1]Субсидия_факт!DF18</f>
        <v>0</v>
      </c>
      <c r="BM20" s="343">
        <f>[1]Субсидия_факт!FL18</f>
        <v>0</v>
      </c>
      <c r="BN20" s="469">
        <f>[1]Субсидия_факт!ND18</f>
        <v>0</v>
      </c>
      <c r="BO20" s="697">
        <f t="shared" si="23"/>
        <v>0</v>
      </c>
      <c r="BP20" s="548"/>
      <c r="BQ20" s="547"/>
      <c r="BR20" s="548"/>
      <c r="BS20" s="535">
        <f t="shared" si="145"/>
        <v>47494256</v>
      </c>
      <c r="BT20" s="449">
        <f>[1]Субсидия_факт!IL18</f>
        <v>27047982</v>
      </c>
      <c r="BU20" s="343">
        <f>[1]Субсидия_факт!IR18</f>
        <v>20446274</v>
      </c>
      <c r="BV20" s="529">
        <f>[1]Субсидия_факт!JD18</f>
        <v>0</v>
      </c>
      <c r="BW20" s="535">
        <f t="shared" si="146"/>
        <v>7854995.9299999997</v>
      </c>
      <c r="BX20" s="547">
        <v>7854995.9299999997</v>
      </c>
      <c r="BY20" s="547"/>
      <c r="BZ20" s="650"/>
      <c r="CA20" s="535">
        <f t="shared" si="147"/>
        <v>0</v>
      </c>
      <c r="CB20" s="469">
        <f>[1]Субсидия_факт!IN18</f>
        <v>0</v>
      </c>
      <c r="CC20" s="343">
        <f>[1]Субсидия_факт!IT18</f>
        <v>0</v>
      </c>
      <c r="CD20" s="529">
        <f>[1]Субсидия_факт!JF18</f>
        <v>0</v>
      </c>
      <c r="CE20" s="535">
        <f t="shared" si="148"/>
        <v>0</v>
      </c>
      <c r="CF20" s="547"/>
      <c r="CG20" s="548"/>
      <c r="CH20" s="760"/>
      <c r="CI20" s="546">
        <f t="shared" si="24"/>
        <v>0</v>
      </c>
      <c r="CJ20" s="544">
        <f t="shared" si="25"/>
        <v>0</v>
      </c>
      <c r="CK20" s="543">
        <f t="shared" si="149"/>
        <v>0</v>
      </c>
      <c r="CL20" s="546">
        <f t="shared" si="150"/>
        <v>0</v>
      </c>
      <c r="CM20" s="965">
        <f t="shared" si="151"/>
        <v>0</v>
      </c>
      <c r="CN20" s="721">
        <f>[1]Субсидия_факт!FT18</f>
        <v>0</v>
      </c>
      <c r="CO20" s="965">
        <f t="shared" si="151"/>
        <v>0</v>
      </c>
      <c r="CP20" s="721"/>
      <c r="CQ20" s="534">
        <f>[1]Субсидия_факт!FV18</f>
        <v>0</v>
      </c>
      <c r="CR20" s="644"/>
      <c r="CS20" s="535">
        <f>[1]Субсидия_факт!FX18</f>
        <v>0</v>
      </c>
      <c r="CT20" s="644"/>
      <c r="CU20" s="544">
        <f t="shared" si="26"/>
        <v>0</v>
      </c>
      <c r="CV20" s="543">
        <f t="shared" si="27"/>
        <v>0</v>
      </c>
      <c r="CW20" s="610">
        <f>[1]Субсидия_факт!FZ18</f>
        <v>0</v>
      </c>
      <c r="CX20" s="643"/>
      <c r="CY20" s="542">
        <f>[1]Субсидия_факт!GB18</f>
        <v>0</v>
      </c>
      <c r="CZ20" s="341"/>
      <c r="DA20" s="534">
        <f>[1]Субсидия_факт!GD18</f>
        <v>0</v>
      </c>
      <c r="DB20" s="644"/>
      <c r="DC20" s="544">
        <f t="shared" si="28"/>
        <v>0</v>
      </c>
      <c r="DD20" s="544">
        <f t="shared" si="29"/>
        <v>0</v>
      </c>
      <c r="DE20" s="691">
        <f>[1]Субсидия_факт!GF18</f>
        <v>0</v>
      </c>
      <c r="DF20" s="342"/>
      <c r="DG20" s="504">
        <f t="shared" si="30"/>
        <v>0</v>
      </c>
      <c r="DH20" s="529">
        <f>[1]Субсидия_факт!EV18</f>
        <v>0</v>
      </c>
      <c r="DI20" s="896">
        <f>[1]Субсидия_факт!EX18</f>
        <v>0</v>
      </c>
      <c r="DJ20" s="471">
        <f t="shared" si="31"/>
        <v>0</v>
      </c>
      <c r="DK20" s="809"/>
      <c r="DL20" s="1083"/>
      <c r="DM20" s="542">
        <f t="shared" si="32"/>
        <v>566560</v>
      </c>
      <c r="DN20" s="541">
        <f>[1]Субсидия_факт!R18</f>
        <v>0</v>
      </c>
      <c r="DO20" s="1210">
        <f>[1]Субсидия_факт!T18</f>
        <v>0</v>
      </c>
      <c r="DP20" s="713">
        <f>[1]Субсидия_факт!V18</f>
        <v>0</v>
      </c>
      <c r="DQ20" s="673">
        <f>[1]Субсидия_факт!X18</f>
        <v>0</v>
      </c>
      <c r="DR20" s="814">
        <f>[1]Субсидия_факт!Z18</f>
        <v>0</v>
      </c>
      <c r="DS20" s="516">
        <f>[1]Субсидия_факт!AB18</f>
        <v>0</v>
      </c>
      <c r="DT20" s="673">
        <f>[1]Субсидия_факт!AD18</f>
        <v>566560</v>
      </c>
      <c r="DU20" s="535">
        <f t="shared" si="33"/>
        <v>566560</v>
      </c>
      <c r="DV20" s="548"/>
      <c r="DW20" s="547"/>
      <c r="DX20" s="717"/>
      <c r="DY20" s="547"/>
      <c r="DZ20" s="717"/>
      <c r="EA20" s="548"/>
      <c r="EB20" s="1210">
        <f t="shared" si="214"/>
        <v>566560</v>
      </c>
      <c r="EC20" s="504">
        <f t="shared" si="34"/>
        <v>0</v>
      </c>
      <c r="ED20" s="529">
        <f>[1]Субсидия_факт!BN18</f>
        <v>0</v>
      </c>
      <c r="EE20" s="896">
        <f>[1]Субсидия_факт!BP18</f>
        <v>0</v>
      </c>
      <c r="EF20" s="471">
        <f t="shared" si="35"/>
        <v>0</v>
      </c>
      <c r="EG20" s="809"/>
      <c r="EH20" s="1083"/>
      <c r="EI20" s="542">
        <f t="shared" si="152"/>
        <v>0</v>
      </c>
      <c r="EJ20" s="469">
        <f>[1]Субсидия_факт!AJ18</f>
        <v>0</v>
      </c>
      <c r="EK20" s="721">
        <f>[1]Субсидия_факт!AL18</f>
        <v>0</v>
      </c>
      <c r="EL20" s="449">
        <f>[1]Субсидия_факт!AN18</f>
        <v>0</v>
      </c>
      <c r="EM20" s="721">
        <f>[1]Субсидия_факт!AP18</f>
        <v>0</v>
      </c>
      <c r="EN20" s="535">
        <f t="shared" si="153"/>
        <v>0</v>
      </c>
      <c r="EO20" s="479"/>
      <c r="EP20" s="717"/>
      <c r="EQ20" s="479"/>
      <c r="ER20" s="717"/>
      <c r="ES20" s="504">
        <f t="shared" si="36"/>
        <v>0</v>
      </c>
      <c r="ET20" s="529">
        <f>[1]Субсидия_факт!AX18</f>
        <v>0</v>
      </c>
      <c r="EU20" s="789">
        <f>[1]Субсидия_факт!AZ18</f>
        <v>0</v>
      </c>
      <c r="EV20" s="471">
        <f t="shared" si="37"/>
        <v>0</v>
      </c>
      <c r="EW20" s="809"/>
      <c r="EX20" s="708"/>
      <c r="EY20" s="504">
        <f t="shared" si="38"/>
        <v>148784526</v>
      </c>
      <c r="EZ20" s="529">
        <f>[1]Субсидия_факт!BZ18</f>
        <v>7439226</v>
      </c>
      <c r="FA20" s="896">
        <f>[1]Субсидия_факт!CB18</f>
        <v>141345300</v>
      </c>
      <c r="FB20" s="471">
        <f t="shared" si="39"/>
        <v>16318581.83</v>
      </c>
      <c r="FC20" s="809">
        <v>815929.06</v>
      </c>
      <c r="FD20" s="708">
        <v>15502652.77</v>
      </c>
      <c r="FE20" s="504">
        <f t="shared" si="40"/>
        <v>0</v>
      </c>
      <c r="FF20" s="529">
        <f>[1]Субсидия_факт!BR18</f>
        <v>0</v>
      </c>
      <c r="FG20" s="896">
        <f>[1]Субсидия_факт!BT18</f>
        <v>0</v>
      </c>
      <c r="FH20" s="471">
        <f t="shared" si="41"/>
        <v>0</v>
      </c>
      <c r="FI20" s="809"/>
      <c r="FJ20" s="708"/>
      <c r="FK20" s="504">
        <f t="shared" si="42"/>
        <v>0</v>
      </c>
      <c r="FL20" s="529">
        <f>[1]Субсидия_факт!KJ18</f>
        <v>0</v>
      </c>
      <c r="FM20" s="896">
        <f>[1]Субсидия_факт!KL18</f>
        <v>0</v>
      </c>
      <c r="FN20" s="471">
        <f t="shared" si="43"/>
        <v>0</v>
      </c>
      <c r="FO20" s="809"/>
      <c r="FP20" s="708"/>
      <c r="FQ20" s="504">
        <f t="shared" si="44"/>
        <v>0</v>
      </c>
      <c r="FR20" s="529">
        <f>[1]Субсидия_факт!KN18</f>
        <v>0</v>
      </c>
      <c r="FS20" s="896">
        <f>[1]Субсидия_факт!KR18</f>
        <v>0</v>
      </c>
      <c r="FT20" s="471">
        <f t="shared" si="45"/>
        <v>0</v>
      </c>
      <c r="FU20" s="809"/>
      <c r="FV20" s="708"/>
      <c r="FW20" s="695">
        <f t="shared" si="154"/>
        <v>0</v>
      </c>
      <c r="FX20" s="697">
        <f t="shared" si="155"/>
        <v>0</v>
      </c>
      <c r="FY20" s="695">
        <f t="shared" si="156"/>
        <v>0</v>
      </c>
      <c r="FZ20" s="697">
        <f t="shared" si="157"/>
        <v>0</v>
      </c>
      <c r="GA20" s="504">
        <f t="shared" si="158"/>
        <v>0</v>
      </c>
      <c r="GB20" s="1374">
        <f>[1]Субсидия_факт!BJ18</f>
        <v>0</v>
      </c>
      <c r="GC20" s="706">
        <f>[1]Субсидия_факт!BL18</f>
        <v>0</v>
      </c>
      <c r="GD20" s="504">
        <f t="shared" si="159"/>
        <v>0</v>
      </c>
      <c r="GE20" s="760"/>
      <c r="GF20" s="708"/>
      <c r="GG20" s="504">
        <f t="shared" si="46"/>
        <v>0</v>
      </c>
      <c r="GH20" s="760"/>
      <c r="GI20" s="708"/>
      <c r="GJ20" s="529"/>
      <c r="GK20" s="896"/>
      <c r="GL20" s="471">
        <f t="shared" si="47"/>
        <v>0</v>
      </c>
      <c r="GM20" s="760"/>
      <c r="GN20" s="708"/>
      <c r="GO20" s="760"/>
      <c r="GP20" s="708"/>
      <c r="GQ20" s="471">
        <f t="shared" si="160"/>
        <v>3013987.1500000004</v>
      </c>
      <c r="GR20" s="1374">
        <f>[1]Субсидия_факт!GJ18</f>
        <v>255096.41</v>
      </c>
      <c r="GS20" s="706">
        <f>[1]Субсидия_факт!GN18</f>
        <v>0</v>
      </c>
      <c r="GT20" s="529">
        <f>[1]Субсидия_факт!GX18</f>
        <v>1619246.04</v>
      </c>
      <c r="GU20" s="896">
        <f>[1]Субсидия_факт!HB18</f>
        <v>1139644.7000000002</v>
      </c>
      <c r="GV20" s="471">
        <f t="shared" si="161"/>
        <v>0</v>
      </c>
      <c r="GW20" s="760"/>
      <c r="GX20" s="708"/>
      <c r="GY20" s="760"/>
      <c r="GZ20" s="708"/>
      <c r="HA20" s="695">
        <f t="shared" si="162"/>
        <v>3013987.1500000004</v>
      </c>
      <c r="HB20" s="1374">
        <f t="shared" si="48"/>
        <v>255096.41</v>
      </c>
      <c r="HC20" s="1375">
        <f t="shared" si="49"/>
        <v>0</v>
      </c>
      <c r="HD20" s="529">
        <f t="shared" si="50"/>
        <v>1619246.04</v>
      </c>
      <c r="HE20" s="896">
        <f t="shared" si="51"/>
        <v>1139644.7000000002</v>
      </c>
      <c r="HF20" s="695">
        <f t="shared" si="163"/>
        <v>0</v>
      </c>
      <c r="HG20" s="1374">
        <f t="shared" si="52"/>
        <v>0</v>
      </c>
      <c r="HH20" s="1375">
        <f t="shared" si="53"/>
        <v>0</v>
      </c>
      <c r="HI20" s="529">
        <f t="shared" si="54"/>
        <v>0</v>
      </c>
      <c r="HJ20" s="896">
        <f t="shared" si="55"/>
        <v>0</v>
      </c>
      <c r="HK20" s="695">
        <f t="shared" si="164"/>
        <v>0</v>
      </c>
      <c r="HL20" s="1374">
        <f>[1]Субсидия_факт!GL18</f>
        <v>0</v>
      </c>
      <c r="HM20" s="706">
        <f>[1]Субсидия_факт!GP18</f>
        <v>0</v>
      </c>
      <c r="HN20" s="529">
        <f>[1]Субсидия_факт!GZ18</f>
        <v>0</v>
      </c>
      <c r="HO20" s="896">
        <f>[1]Субсидия_факт!HD18</f>
        <v>0</v>
      </c>
      <c r="HP20" s="695">
        <f t="shared" si="165"/>
        <v>0</v>
      </c>
      <c r="HQ20" s="760"/>
      <c r="HR20" s="708"/>
      <c r="HS20" s="760"/>
      <c r="HT20" s="708"/>
      <c r="HU20" s="542">
        <f t="shared" si="56"/>
        <v>0</v>
      </c>
      <c r="HV20" s="531">
        <f>[1]Субсидия_факт!N18</f>
        <v>0</v>
      </c>
      <c r="HW20" s="789">
        <f>[1]Субсидия_факт!P18</f>
        <v>0</v>
      </c>
      <c r="HX20" s="535">
        <f t="shared" si="57"/>
        <v>0</v>
      </c>
      <c r="HY20" s="547"/>
      <c r="HZ20" s="739"/>
      <c r="IA20" s="542">
        <f t="shared" si="58"/>
        <v>0</v>
      </c>
      <c r="IB20" s="541">
        <f>[1]Субсидия_факт!DZ18</f>
        <v>0</v>
      </c>
      <c r="IC20" s="721">
        <f>[1]Субсидия_факт!EB18</f>
        <v>0</v>
      </c>
      <c r="ID20" s="534">
        <f t="shared" si="59"/>
        <v>0</v>
      </c>
      <c r="IE20" s="547"/>
      <c r="IF20" s="739"/>
      <c r="IG20" s="542">
        <f t="shared" si="166"/>
        <v>0</v>
      </c>
      <c r="IH20" s="531">
        <f>[1]Субсидия_факт!EP18</f>
        <v>0</v>
      </c>
      <c r="II20" s="789">
        <f>[1]Субсидия_факт!ER18</f>
        <v>0</v>
      </c>
      <c r="IJ20" s="535">
        <f t="shared" si="167"/>
        <v>0</v>
      </c>
      <c r="IK20" s="547"/>
      <c r="IL20" s="739"/>
      <c r="IM20" s="599">
        <f t="shared" si="62"/>
        <v>1262638.42</v>
      </c>
      <c r="IN20" s="529">
        <f>[1]Субсидия_факт!ED18</f>
        <v>353540.49</v>
      </c>
      <c r="IO20" s="896">
        <f>[1]Субсидия_факт!EJ18</f>
        <v>909097.93</v>
      </c>
      <c r="IP20" s="471">
        <f t="shared" si="63"/>
        <v>0</v>
      </c>
      <c r="IQ20" s="760">
        <v>0</v>
      </c>
      <c r="IR20" s="708"/>
      <c r="IS20" s="471">
        <f t="shared" si="64"/>
        <v>0</v>
      </c>
      <c r="IT20" s="529">
        <f>[1]Субсидия_факт!EF18</f>
        <v>0</v>
      </c>
      <c r="IU20" s="789">
        <f>[1]Субсидия_факт!EL18</f>
        <v>0</v>
      </c>
      <c r="IV20" s="471">
        <f t="shared" si="65"/>
        <v>0</v>
      </c>
      <c r="IW20" s="650"/>
      <c r="IX20" s="742"/>
      <c r="IY20" s="697">
        <f t="shared" si="66"/>
        <v>0</v>
      </c>
      <c r="IZ20" s="787">
        <f>'План и исполнение'!IT20-'План и исполнение'!JF20</f>
        <v>0</v>
      </c>
      <c r="JA20" s="706">
        <f>'План и исполнение'!IU20-'План и исполнение'!JG20</f>
        <v>0</v>
      </c>
      <c r="JB20" s="691">
        <f t="shared" si="67"/>
        <v>0</v>
      </c>
      <c r="JC20" s="793">
        <f>'План и исполнение'!IW20-'План и исполнение'!JI20</f>
        <v>0</v>
      </c>
      <c r="JD20" s="804">
        <f>'План и исполнение'!IX20-'План и исполнение'!JJ20</f>
        <v>0</v>
      </c>
      <c r="JE20" s="697">
        <f t="shared" si="68"/>
        <v>0</v>
      </c>
      <c r="JF20" s="529">
        <f>[1]Субсидия_факт!EH18</f>
        <v>0</v>
      </c>
      <c r="JG20" s="896">
        <f>[1]Субсидия_факт!EN18</f>
        <v>0</v>
      </c>
      <c r="JH20" s="697">
        <f t="shared" si="69"/>
        <v>0</v>
      </c>
      <c r="JI20" s="529"/>
      <c r="JJ20" s="789"/>
      <c r="JK20" s="471">
        <f t="shared" si="70"/>
        <v>0</v>
      </c>
      <c r="JL20" s="793">
        <f>[1]Субсидия_факт!AR18</f>
        <v>0</v>
      </c>
      <c r="JM20" s="706">
        <f>[1]Субсидия_факт!AT18</f>
        <v>0</v>
      </c>
      <c r="JN20" s="471">
        <f t="shared" si="71"/>
        <v>0</v>
      </c>
      <c r="JO20" s="650"/>
      <c r="JP20" s="708"/>
      <c r="JQ20" s="785">
        <f t="shared" si="72"/>
        <v>152449.14000000001</v>
      </c>
      <c r="JR20" s="793">
        <f>[1]Субсидия_факт!CJ18</f>
        <v>0</v>
      </c>
      <c r="JS20" s="706">
        <f>[1]Субсидия_факт!CP18</f>
        <v>0</v>
      </c>
      <c r="JT20" s="529">
        <f>[1]Субсидия_факт!DN18</f>
        <v>71304.56</v>
      </c>
      <c r="JU20" s="896">
        <f>[1]Субсидия_факт!DT18</f>
        <v>81144.58</v>
      </c>
      <c r="JV20" s="471">
        <f t="shared" si="73"/>
        <v>0</v>
      </c>
      <c r="JW20" s="650"/>
      <c r="JX20" s="708"/>
      <c r="JY20" s="650"/>
      <c r="JZ20" s="892"/>
      <c r="KA20" s="785">
        <f t="shared" si="74"/>
        <v>0</v>
      </c>
      <c r="KB20" s="793">
        <f>[1]Субсидия_факт!CL18</f>
        <v>0</v>
      </c>
      <c r="KC20" s="706">
        <f>[1]Субсидия_факт!CR18</f>
        <v>0</v>
      </c>
      <c r="KD20" s="529">
        <f>[1]Субсидия_факт!DP18</f>
        <v>0</v>
      </c>
      <c r="KE20" s="896">
        <f>[1]Субсидия_факт!DV18</f>
        <v>0</v>
      </c>
      <c r="KF20" s="471">
        <f t="shared" si="75"/>
        <v>0</v>
      </c>
      <c r="KG20" s="650"/>
      <c r="KH20" s="708"/>
      <c r="KI20" s="809"/>
      <c r="KJ20" s="708"/>
      <c r="KK20" s="788">
        <f t="shared" si="76"/>
        <v>0</v>
      </c>
      <c r="KL20" s="793">
        <f>'План и исполнение'!KB20-KV20</f>
        <v>0</v>
      </c>
      <c r="KM20" s="706">
        <f>'План и исполнение'!KC20-KW20</f>
        <v>0</v>
      </c>
      <c r="KN20" s="787">
        <f>'План и исполнение'!KD20-KX20</f>
        <v>0</v>
      </c>
      <c r="KO20" s="706">
        <f>'План и исполнение'!KE20-KY20</f>
        <v>0</v>
      </c>
      <c r="KP20" s="788">
        <f t="shared" si="77"/>
        <v>0</v>
      </c>
      <c r="KQ20" s="793">
        <f>'План и исполнение'!KG20-LA20</f>
        <v>0</v>
      </c>
      <c r="KR20" s="830">
        <f>'План и исполнение'!KH20-LB20</f>
        <v>0</v>
      </c>
      <c r="KS20" s="793">
        <f>'План и исполнение'!KI20-LC20</f>
        <v>0</v>
      </c>
      <c r="KT20" s="804">
        <f>'План и исполнение'!KJ20-LD20</f>
        <v>0</v>
      </c>
      <c r="KU20" s="697">
        <f t="shared" si="78"/>
        <v>0</v>
      </c>
      <c r="KV20" s="793">
        <f>[1]Субсидия_факт!CN18</f>
        <v>0</v>
      </c>
      <c r="KW20" s="706">
        <f>[1]Субсидия_факт!CT18</f>
        <v>0</v>
      </c>
      <c r="KX20" s="529">
        <f>[1]Субсидия_факт!DR18</f>
        <v>0</v>
      </c>
      <c r="KY20" s="896">
        <f>[1]Субсидия_факт!DX18</f>
        <v>0</v>
      </c>
      <c r="KZ20" s="697">
        <f t="shared" si="79"/>
        <v>0</v>
      </c>
      <c r="LA20" s="650"/>
      <c r="LB20" s="708"/>
      <c r="LC20" s="531"/>
      <c r="LD20" s="1639"/>
      <c r="LE20" s="504">
        <f t="shared" si="168"/>
        <v>0</v>
      </c>
      <c r="LF20" s="529">
        <f>[1]Субсидия_факт!CD18</f>
        <v>0</v>
      </c>
      <c r="LG20" s="789">
        <f>[1]Субсидия_факт!CF18</f>
        <v>0</v>
      </c>
      <c r="LH20" s="529">
        <f>[1]Субсидия_факт!BV18</f>
        <v>0</v>
      </c>
      <c r="LI20" s="789">
        <f>[1]Субсидия_факт!BX18</f>
        <v>0</v>
      </c>
      <c r="LJ20" s="529">
        <f>[1]Субсидия_факт!CH18</f>
        <v>0</v>
      </c>
      <c r="LK20" s="471">
        <f t="shared" si="169"/>
        <v>0</v>
      </c>
      <c r="LL20" s="650"/>
      <c r="LM20" s="708"/>
      <c r="LN20" s="650"/>
      <c r="LO20" s="708"/>
      <c r="LP20" s="650"/>
      <c r="LQ20" s="504">
        <f t="shared" si="80"/>
        <v>0</v>
      </c>
      <c r="LR20" s="516">
        <f>[1]Субсидия_факт!HN18</f>
        <v>0</v>
      </c>
      <c r="LS20" s="529">
        <f>[1]Субсидия_факт!HL18</f>
        <v>0</v>
      </c>
      <c r="LT20" s="541">
        <f>[1]Субсидия_факт!HV18</f>
        <v>0</v>
      </c>
      <c r="LU20" s="721">
        <f>[1]Субсидия_факт!HX18</f>
        <v>0</v>
      </c>
      <c r="LV20" s="471">
        <f t="shared" si="81"/>
        <v>0</v>
      </c>
      <c r="LW20" s="344"/>
      <c r="LX20" s="650"/>
      <c r="LY20" s="479"/>
      <c r="LZ20" s="717"/>
      <c r="MA20" s="471">
        <f t="shared" si="82"/>
        <v>0</v>
      </c>
      <c r="MB20" s="531">
        <f>[1]Субсидия_факт!HT18</f>
        <v>0</v>
      </c>
      <c r="MC20" s="531">
        <f>[1]Субсидия_факт!HP18</f>
        <v>0</v>
      </c>
      <c r="MD20" s="789">
        <f>[1]Субсидия_факт!HR18</f>
        <v>0</v>
      </c>
      <c r="ME20" s="471">
        <f t="shared" si="83"/>
        <v>0</v>
      </c>
      <c r="MF20" s="793">
        <f t="shared" si="170"/>
        <v>0</v>
      </c>
      <c r="MG20" s="650"/>
      <c r="MH20" s="708"/>
      <c r="MI20" s="893">
        <f t="shared" si="84"/>
        <v>0</v>
      </c>
      <c r="MJ20" s="893">
        <f t="shared" si="85"/>
        <v>0</v>
      </c>
      <c r="MK20" s="695">
        <f t="shared" si="86"/>
        <v>0</v>
      </c>
      <c r="ML20" s="1028">
        <f t="shared" si="87"/>
        <v>0</v>
      </c>
      <c r="MM20" s="791">
        <f t="shared" si="216"/>
        <v>0</v>
      </c>
      <c r="MN20" s="529">
        <f>[1]Субсидия_факт!LH18</f>
        <v>0</v>
      </c>
      <c r="MO20" s="896">
        <f>[1]Субсидия_факт!LN18</f>
        <v>0</v>
      </c>
      <c r="MP20" s="531"/>
      <c r="MQ20" s="791">
        <f t="shared" si="171"/>
        <v>0</v>
      </c>
      <c r="MR20" s="809"/>
      <c r="MS20" s="708"/>
      <c r="MT20" s="531"/>
      <c r="MU20" s="791">
        <f t="shared" si="172"/>
        <v>7000000</v>
      </c>
      <c r="MV20" s="529">
        <f>[1]Субсидия_факт!LJ18</f>
        <v>0</v>
      </c>
      <c r="MW20" s="896">
        <f>[1]Субсидия_факт!LP18</f>
        <v>0</v>
      </c>
      <c r="MX20" s="531">
        <f>[1]Субсидия_факт!LT18</f>
        <v>7000000</v>
      </c>
      <c r="MY20" s="791">
        <f t="shared" si="173"/>
        <v>6429500.0599999996</v>
      </c>
      <c r="MZ20" s="650"/>
      <c r="NA20" s="808"/>
      <c r="NB20" s="650">
        <v>6429500.0599999996</v>
      </c>
      <c r="NC20" s="792">
        <f t="shared" si="175"/>
        <v>7000000</v>
      </c>
      <c r="ND20" s="680">
        <f>'План и исполнение'!MV20-NL20</f>
        <v>0</v>
      </c>
      <c r="NE20" s="713">
        <f>'План и исполнение'!MW20-NM20</f>
        <v>0</v>
      </c>
      <c r="NF20" s="647">
        <f>'План и исполнение'!MX20-NN20</f>
        <v>7000000</v>
      </c>
      <c r="NG20" s="792">
        <f t="shared" si="176"/>
        <v>6429500.0599999996</v>
      </c>
      <c r="NH20" s="787">
        <f>'План и исполнение'!MZ20-NP20</f>
        <v>0</v>
      </c>
      <c r="NI20" s="706">
        <f>'План и исполнение'!NA20-NQ20</f>
        <v>0</v>
      </c>
      <c r="NJ20" s="793">
        <f>'План и исполнение'!NB20-NR20</f>
        <v>6429500.0599999996</v>
      </c>
      <c r="NK20" s="792">
        <f t="shared" si="177"/>
        <v>0</v>
      </c>
      <c r="NL20" s="529">
        <f>[1]Субсидия_факт!LL18</f>
        <v>0</v>
      </c>
      <c r="NM20" s="896">
        <f>[1]Субсидия_факт!LR18</f>
        <v>0</v>
      </c>
      <c r="NN20" s="529">
        <f>[1]Субсидия_факт!LV18</f>
        <v>0</v>
      </c>
      <c r="NO20" s="792">
        <f t="shared" si="178"/>
        <v>0</v>
      </c>
      <c r="NP20" s="787">
        <f t="shared" si="179"/>
        <v>0</v>
      </c>
      <c r="NQ20" s="706">
        <f t="shared" si="180"/>
        <v>0</v>
      </c>
      <c r="NR20" s="529">
        <f t="shared" si="215"/>
        <v>0</v>
      </c>
      <c r="NS20" s="535">
        <f t="shared" si="181"/>
        <v>0</v>
      </c>
      <c r="NT20" s="1285">
        <f>[1]Субсидия_факт!NF18</f>
        <v>0</v>
      </c>
      <c r="NU20" s="713">
        <f>[1]Субсидия_факт!NH18</f>
        <v>0</v>
      </c>
      <c r="NV20" s="535">
        <f t="shared" si="182"/>
        <v>0</v>
      </c>
      <c r="NW20" s="344"/>
      <c r="NX20" s="739"/>
      <c r="NY20" s="535">
        <f t="shared" si="183"/>
        <v>2166347.4</v>
      </c>
      <c r="NZ20" s="1194">
        <f>[1]Субсидия_факт!LX18</f>
        <v>0</v>
      </c>
      <c r="OA20" s="1295">
        <f>[1]Субсидия_факт!MB18</f>
        <v>0</v>
      </c>
      <c r="OB20" s="1194">
        <f>[1]Субсидия_факт!MF18</f>
        <v>606577.27</v>
      </c>
      <c r="OC20" s="713">
        <f>[1]Субсидия_факт!MJ18</f>
        <v>1559770.13</v>
      </c>
      <c r="OD20" s="1285">
        <f>[1]Субсидия_факт!NJ18</f>
        <v>0</v>
      </c>
      <c r="OE20" s="713">
        <f>[1]Субсидия_факт!NN18</f>
        <v>0</v>
      </c>
      <c r="OF20" s="535">
        <f t="shared" si="184"/>
        <v>188354.6</v>
      </c>
      <c r="OG20" s="493"/>
      <c r="OH20" s="746"/>
      <c r="OI20" s="344">
        <v>52739.29</v>
      </c>
      <c r="OJ20" s="739">
        <v>135615.31</v>
      </c>
      <c r="OK20" s="493"/>
      <c r="OL20" s="746"/>
      <c r="OM20" s="610">
        <f t="shared" si="185"/>
        <v>2166347.4</v>
      </c>
      <c r="ON20" s="1194">
        <f t="shared" si="88"/>
        <v>0</v>
      </c>
      <c r="OO20" s="713">
        <f t="shared" si="89"/>
        <v>0</v>
      </c>
      <c r="OP20" s="493">
        <f t="shared" si="90"/>
        <v>606577.27</v>
      </c>
      <c r="OQ20" s="713">
        <f t="shared" si="91"/>
        <v>1559770.13</v>
      </c>
      <c r="OR20" s="1285">
        <f t="shared" si="92"/>
        <v>0</v>
      </c>
      <c r="OS20" s="713">
        <f t="shared" si="93"/>
        <v>0</v>
      </c>
      <c r="OT20" s="610">
        <f t="shared" si="186"/>
        <v>188354.6</v>
      </c>
      <c r="OU20" s="1194">
        <f t="shared" si="94"/>
        <v>0</v>
      </c>
      <c r="OV20" s="713">
        <f t="shared" si="95"/>
        <v>0</v>
      </c>
      <c r="OW20" s="493">
        <f t="shared" si="96"/>
        <v>52739.29</v>
      </c>
      <c r="OX20" s="713">
        <f t="shared" si="97"/>
        <v>135615.31</v>
      </c>
      <c r="OY20" s="1285">
        <f t="shared" si="98"/>
        <v>0</v>
      </c>
      <c r="OZ20" s="713">
        <f t="shared" si="99"/>
        <v>0</v>
      </c>
      <c r="PA20" s="610">
        <f t="shared" si="187"/>
        <v>0</v>
      </c>
      <c r="PB20" s="1194">
        <f>[1]Субсидия_факт!LZ18</f>
        <v>0</v>
      </c>
      <c r="PC20" s="1295">
        <f>[1]Субсидия_факт!MD18</f>
        <v>0</v>
      </c>
      <c r="PD20" s="1194">
        <f>[1]Субсидия_факт!MH18</f>
        <v>0</v>
      </c>
      <c r="PE20" s="713">
        <f>[1]Субсидия_факт!ML18</f>
        <v>0</v>
      </c>
      <c r="PF20" s="991">
        <f>[1]Субсидия_факт!NL18</f>
        <v>0</v>
      </c>
      <c r="PG20" s="801">
        <f>[1]Субсидия_факт!NP18</f>
        <v>0</v>
      </c>
      <c r="PH20" s="610">
        <f t="shared" si="188"/>
        <v>0</v>
      </c>
      <c r="PI20" s="991"/>
      <c r="PJ20" s="746"/>
      <c r="PK20" s="493"/>
      <c r="PL20" s="746"/>
      <c r="PM20" s="493"/>
      <c r="PN20" s="746"/>
      <c r="PO20" s="504">
        <f t="shared" si="100"/>
        <v>0</v>
      </c>
      <c r="PP20" s="529">
        <f>[1]Субсидия_факт!AF18</f>
        <v>0</v>
      </c>
      <c r="PQ20" s="896">
        <f>[1]Субсидия_факт!AH18</f>
        <v>0</v>
      </c>
      <c r="PR20" s="471">
        <f t="shared" si="101"/>
        <v>0</v>
      </c>
      <c r="PS20" s="809"/>
      <c r="PT20" s="708"/>
      <c r="PU20" s="535">
        <f t="shared" si="102"/>
        <v>5149444.4399999995</v>
      </c>
      <c r="PV20" s="673">
        <f>[1]Субсидия_факт!MN18</f>
        <v>1441844.44</v>
      </c>
      <c r="PW20" s="814">
        <f>[1]Субсидия_факт!MP18</f>
        <v>3707600</v>
      </c>
      <c r="PX20" s="535">
        <f t="shared" si="103"/>
        <v>0</v>
      </c>
      <c r="PY20" s="1377"/>
      <c r="PZ20" s="717"/>
      <c r="QA20" s="535">
        <f t="shared" si="104"/>
        <v>0</v>
      </c>
      <c r="QB20" s="1194">
        <f>[1]Субсидия_факт!MR18</f>
        <v>0</v>
      </c>
      <c r="QC20" s="713">
        <f>[1]Субсидия_факт!MV18</f>
        <v>0</v>
      </c>
      <c r="QD20" s="535">
        <f t="shared" si="105"/>
        <v>0</v>
      </c>
      <c r="QE20" s="479"/>
      <c r="QF20" s="717"/>
      <c r="QG20" s="610">
        <f t="shared" si="106"/>
        <v>0</v>
      </c>
      <c r="QH20" s="1194">
        <f t="shared" si="107"/>
        <v>0</v>
      </c>
      <c r="QI20" s="713">
        <f t="shared" si="108"/>
        <v>0</v>
      </c>
      <c r="QJ20" s="610">
        <f t="shared" si="109"/>
        <v>0</v>
      </c>
      <c r="QK20" s="1194">
        <f t="shared" si="110"/>
        <v>0</v>
      </c>
      <c r="QL20" s="713">
        <f t="shared" si="111"/>
        <v>0</v>
      </c>
      <c r="QM20" s="610">
        <f t="shared" si="112"/>
        <v>0</v>
      </c>
      <c r="QN20" s="1210">
        <f>[1]Субсидия_факт!MT18</f>
        <v>0</v>
      </c>
      <c r="QO20" s="713">
        <f>[1]Субсидия_факт!MX18</f>
        <v>0</v>
      </c>
      <c r="QP20" s="610">
        <f t="shared" si="113"/>
        <v>0</v>
      </c>
      <c r="QQ20" s="479"/>
      <c r="QR20" s="717"/>
      <c r="QS20" s="535">
        <f>'Прочая  субсидия_МР  и  ГО'!B16</f>
        <v>6662506.8900000006</v>
      </c>
      <c r="QT20" s="535">
        <f>'Прочая  субсидия_МР  и  ГО'!C16</f>
        <v>3012257.37</v>
      </c>
      <c r="QU20" s="540">
        <f>'Прочая  субсидия_БП'!B16</f>
        <v>11602393.190000001</v>
      </c>
      <c r="QV20" s="542">
        <f>'Прочая  субсидия_БП'!C16</f>
        <v>3738121.19</v>
      </c>
      <c r="QW20" s="605">
        <f>'Прочая  субсидия_БП'!D16</f>
        <v>11602393.190000001</v>
      </c>
      <c r="QX20" s="604">
        <f>'Прочая  субсидия_БП'!E16</f>
        <v>3738121.19</v>
      </c>
      <c r="QY20" s="611">
        <f>'Прочая  субсидия_БП'!F16</f>
        <v>0</v>
      </c>
      <c r="QZ20" s="605">
        <f>'Прочая  субсидия_БП'!G16</f>
        <v>0</v>
      </c>
      <c r="RA20" s="542">
        <f t="shared" si="189"/>
        <v>215544699</v>
      </c>
      <c r="RB20" s="469">
        <f>'План и исполнение'!RZ20+'План и исполнение'!RG20+'План и исполнение'!RI20+'План и исполнение'!RK20</f>
        <v>212574699</v>
      </c>
      <c r="RC20" s="343">
        <f>'План и исполнение'!SB20+'План и исполнение'!RM20+'План и исполнение'!RS20+'План и исполнение'!RO20+'План и исполнение'!RQ20+RU20+RW20+SA20</f>
        <v>2970000</v>
      </c>
      <c r="RD20" s="534">
        <f t="shared" si="190"/>
        <v>126030625.66</v>
      </c>
      <c r="RE20" s="541">
        <f>'План и исполнение'!SD20+'План и исполнение'!RH20+'План и исполнение'!RJ20+'План и исполнение'!RL20</f>
        <v>124577751</v>
      </c>
      <c r="RF20" s="343">
        <f>'План и исполнение'!SF20+'План и исполнение'!RN20+'План и исполнение'!RT20+'План и исполнение'!RP20+'План и исполнение'!RR20+RV20+RX20+SE20</f>
        <v>1452874.66</v>
      </c>
      <c r="RG20" s="599">
        <f>'Субвенция  на  полномочия'!B16</f>
        <v>196970199</v>
      </c>
      <c r="RH20" s="471">
        <f>'Субвенция  на  полномочия'!C16</f>
        <v>115992751</v>
      </c>
      <c r="RI20" s="768">
        <f>[1]Субвенция_факт!P17*1000</f>
        <v>12934400</v>
      </c>
      <c r="RJ20" s="771">
        <v>7200000</v>
      </c>
      <c r="RK20" s="768">
        <f>[1]Субвенция_факт!K17*1000</f>
        <v>1704800</v>
      </c>
      <c r="RL20" s="771">
        <v>750000</v>
      </c>
      <c r="RM20" s="768">
        <f>[1]Субвенция_факт!AF17*1000</f>
        <v>1218000</v>
      </c>
      <c r="RN20" s="771">
        <v>501554.2</v>
      </c>
      <c r="RO20" s="768">
        <f>[1]Субвенция_факт!AG17*1000</f>
        <v>2000</v>
      </c>
      <c r="RP20" s="771">
        <v>0</v>
      </c>
      <c r="RQ20" s="768">
        <f>[1]Субвенция_факт!E17*1000</f>
        <v>0</v>
      </c>
      <c r="RR20" s="771"/>
      <c r="RS20" s="768">
        <f>[1]Субвенция_факт!F17*1000</f>
        <v>0</v>
      </c>
      <c r="RT20" s="877"/>
      <c r="RU20" s="168">
        <f>[1]Субвенция_факт!G17*1000</f>
        <v>0</v>
      </c>
      <c r="RV20" s="1241"/>
      <c r="RW20" s="168">
        <f>[1]Субвенция_факт!H17*1000</f>
        <v>0</v>
      </c>
      <c r="RX20" s="878"/>
      <c r="RY20" s="504">
        <f t="shared" si="191"/>
        <v>2715300</v>
      </c>
      <c r="RZ20" s="887">
        <f>[1]Субвенция_факт!AE17*1000</f>
        <v>965300</v>
      </c>
      <c r="SA20" s="882">
        <f>[1]Субвенция_факт!AD17*1000</f>
        <v>0</v>
      </c>
      <c r="SB20" s="1158">
        <f>[1]Субвенция_факт!AC17*1000</f>
        <v>1750000</v>
      </c>
      <c r="SC20" s="535">
        <f t="shared" si="116"/>
        <v>1586320.46</v>
      </c>
      <c r="SD20" s="974">
        <v>635000</v>
      </c>
      <c r="SE20" s="1645"/>
      <c r="SF20" s="1652">
        <v>951320.46</v>
      </c>
      <c r="SG20" s="279">
        <f>'План и исполнение'!VI20+'План и исполнение'!VA20+'План и исполнение'!TA20+'План и исполнение'!TE20+UO20+UU20+SO20+SS20+TM20+TQ20+UE20+SI20+TY20</f>
        <v>0</v>
      </c>
      <c r="SH20" s="168">
        <f>'План и исполнение'!VK20+'План и исполнение'!VE20+'План и исполнение'!TC20+'План и исполнение'!TG20+UR20+UX20+SQ20+SU20+TO20+TS20+UH20+SL20+UB20</f>
        <v>0</v>
      </c>
      <c r="SI20" s="540">
        <f t="shared" si="117"/>
        <v>0</v>
      </c>
      <c r="SJ20" s="887">
        <f>'[1]Иные межбюджетные трансферты'!E18</f>
        <v>0</v>
      </c>
      <c r="SK20" s="945">
        <f>'[1]Иные межбюджетные трансферты'!G18</f>
        <v>0</v>
      </c>
      <c r="SL20" s="535">
        <f t="shared" si="118"/>
        <v>0</v>
      </c>
      <c r="SM20" s="1323"/>
      <c r="SN20" s="1464"/>
      <c r="SO20" s="1335">
        <f t="shared" si="192"/>
        <v>0</v>
      </c>
      <c r="SP20" s="1115">
        <f>'[1]Иные межбюджетные трансферты'!W18</f>
        <v>0</v>
      </c>
      <c r="SQ20" s="1333">
        <f t="shared" si="193"/>
        <v>0</v>
      </c>
      <c r="SR20" s="1334"/>
      <c r="SS20" s="1336">
        <f t="shared" si="194"/>
        <v>0</v>
      </c>
      <c r="ST20" s="1115">
        <f>'[1]Иные межбюджетные трансферты'!Y18</f>
        <v>0</v>
      </c>
      <c r="SU20" s="1344">
        <f t="shared" si="195"/>
        <v>0</v>
      </c>
      <c r="SV20" s="1334"/>
      <c r="SW20" s="1336">
        <f t="shared" si="196"/>
        <v>0</v>
      </c>
      <c r="SX20" s="1344">
        <f t="shared" si="197"/>
        <v>0</v>
      </c>
      <c r="SY20" s="1355">
        <f t="shared" si="198"/>
        <v>0</v>
      </c>
      <c r="SZ20" s="1344">
        <f t="shared" si="199"/>
        <v>0</v>
      </c>
      <c r="TA20" s="1350">
        <f t="shared" si="119"/>
        <v>0</v>
      </c>
      <c r="TB20" s="1115">
        <f>'[1]Иные межбюджетные трансферты'!AC18</f>
        <v>0</v>
      </c>
      <c r="TC20" s="965">
        <f t="shared" si="120"/>
        <v>0</v>
      </c>
      <c r="TD20" s="945"/>
      <c r="TE20" s="971">
        <f t="shared" si="121"/>
        <v>0</v>
      </c>
      <c r="TF20" s="1115">
        <f>'[1]Иные межбюджетные трансферты'!AE18</f>
        <v>0</v>
      </c>
      <c r="TG20" s="965">
        <f t="shared" si="122"/>
        <v>0</v>
      </c>
      <c r="TH20" s="1214"/>
      <c r="TI20" s="968">
        <f t="shared" si="123"/>
        <v>0</v>
      </c>
      <c r="TJ20" s="962">
        <f t="shared" si="124"/>
        <v>0</v>
      </c>
      <c r="TK20" s="1219">
        <f t="shared" si="200"/>
        <v>0</v>
      </c>
      <c r="TL20" s="962">
        <f t="shared" si="201"/>
        <v>0</v>
      </c>
      <c r="TM20" s="971">
        <f t="shared" si="125"/>
        <v>0</v>
      </c>
      <c r="TN20" s="1115">
        <f>'[1]Иные межбюджетные трансферты'!AI18</f>
        <v>0</v>
      </c>
      <c r="TO20" s="965">
        <f t="shared" si="126"/>
        <v>0</v>
      </c>
      <c r="TP20" s="945"/>
      <c r="TQ20" s="971">
        <f t="shared" si="127"/>
        <v>0</v>
      </c>
      <c r="TR20" s="1115">
        <f>'[1]Иные межбюджетные трансферты'!AK18</f>
        <v>0</v>
      </c>
      <c r="TS20" s="965">
        <f t="shared" si="128"/>
        <v>0</v>
      </c>
      <c r="TT20" s="1214"/>
      <c r="TU20" s="968">
        <f t="shared" si="129"/>
        <v>0</v>
      </c>
      <c r="TV20" s="962">
        <f t="shared" si="130"/>
        <v>0</v>
      </c>
      <c r="TW20" s="1219">
        <f t="shared" si="202"/>
        <v>0</v>
      </c>
      <c r="TX20" s="968">
        <f t="shared" si="203"/>
        <v>0</v>
      </c>
      <c r="TY20" s="971">
        <f t="shared" si="204"/>
        <v>0</v>
      </c>
      <c r="TZ20" s="1210"/>
      <c r="UA20" s="713"/>
      <c r="UB20" s="971">
        <f t="shared" si="205"/>
        <v>0</v>
      </c>
      <c r="UC20" s="810"/>
      <c r="UD20" s="717"/>
      <c r="UE20" s="971">
        <f t="shared" si="206"/>
        <v>0</v>
      </c>
      <c r="UF20" s="1210">
        <f>'[1]Иные межбюджетные трансферты'!AS18</f>
        <v>0</v>
      </c>
      <c r="UG20" s="713">
        <f>'[1]Иные межбюджетные трансферты'!AW18</f>
        <v>0</v>
      </c>
      <c r="UH20" s="965">
        <f t="shared" si="207"/>
        <v>0</v>
      </c>
      <c r="UI20" s="1484"/>
      <c r="UJ20" s="804"/>
      <c r="UK20" s="865">
        <f t="shared" si="208"/>
        <v>0</v>
      </c>
      <c r="UL20" s="865">
        <f t="shared" si="209"/>
        <v>0</v>
      </c>
      <c r="UM20" s="865">
        <f t="shared" si="210"/>
        <v>0</v>
      </c>
      <c r="UN20" s="1493">
        <f t="shared" si="211"/>
        <v>0</v>
      </c>
      <c r="UO20" s="1267">
        <f t="shared" si="131"/>
        <v>0</v>
      </c>
      <c r="UP20" s="1029">
        <f>'[1]Иные межбюджетные трансферты'!S18</f>
        <v>0</v>
      </c>
      <c r="UQ20" s="1266">
        <f>'[1]Иные межбюджетные трансферты'!U18</f>
        <v>0</v>
      </c>
      <c r="UR20" s="769">
        <f t="shared" si="132"/>
        <v>0</v>
      </c>
      <c r="US20" s="1029"/>
      <c r="UT20" s="1266"/>
      <c r="UU20" s="1267">
        <f t="shared" si="133"/>
        <v>0</v>
      </c>
      <c r="UV20" s="1029">
        <f>'[1]Иные межбюджетные трансферты'!O18</f>
        <v>0</v>
      </c>
      <c r="UW20" s="1266">
        <f>'[1]Иные межбюджетные трансферты'!Q18</f>
        <v>0</v>
      </c>
      <c r="UX20" s="769">
        <f t="shared" si="134"/>
        <v>0</v>
      </c>
      <c r="UY20" s="1029"/>
      <c r="UZ20" s="1266"/>
      <c r="VA20" s="888">
        <f t="shared" si="212"/>
        <v>0</v>
      </c>
      <c r="VB20" s="887">
        <f>'[1]Иные межбюджетные трансферты'!I18</f>
        <v>0</v>
      </c>
      <c r="VC20" s="945">
        <f>'[1]Иные межбюджетные трансферты'!K18</f>
        <v>0</v>
      </c>
      <c r="VD20" s="1158">
        <f>'[1]Иные межбюджетные трансферты'!M18</f>
        <v>0</v>
      </c>
      <c r="VE20" s="888">
        <f t="shared" si="213"/>
        <v>0</v>
      </c>
      <c r="VF20" s="980"/>
      <c r="VG20" s="978"/>
      <c r="VH20" s="1323"/>
      <c r="VI20" s="528">
        <f t="shared" si="135"/>
        <v>0</v>
      </c>
      <c r="VJ20" s="882"/>
      <c r="VK20" s="888">
        <f t="shared" si="136"/>
        <v>0</v>
      </c>
      <c r="VL20" s="531"/>
      <c r="VM20" s="893">
        <f t="shared" si="137"/>
        <v>0</v>
      </c>
      <c r="VN20" s="529"/>
      <c r="VO20" s="893">
        <f t="shared" si="138"/>
        <v>0</v>
      </c>
      <c r="VP20" s="529"/>
      <c r="VQ20" s="893">
        <f t="shared" si="139"/>
        <v>0</v>
      </c>
      <c r="VR20" s="882"/>
      <c r="VS20" s="1028">
        <f t="shared" si="140"/>
        <v>0</v>
      </c>
      <c r="VT20" s="531"/>
      <c r="VU20" s="535">
        <f>VW20+'План и исполнение'!WE20+WA20+'План и исполнение'!WI20+WC20+'План и исполнение'!WK20</f>
        <v>-25530000</v>
      </c>
      <c r="VV20" s="535">
        <f>VX20+'План и исполнение'!WF20+WB20+'План и исполнение'!WJ20+WD20+'План и исполнение'!WL20</f>
        <v>-5600000</v>
      </c>
      <c r="VW20" s="549"/>
      <c r="VX20" s="549"/>
      <c r="VY20" s="549">
        <v>800000</v>
      </c>
      <c r="VZ20" s="549">
        <v>800000</v>
      </c>
      <c r="WA20" s="546">
        <f t="shared" si="141"/>
        <v>800000</v>
      </c>
      <c r="WB20" s="544">
        <f t="shared" si="142"/>
        <v>800000</v>
      </c>
      <c r="WC20" s="550"/>
      <c r="WD20" s="539"/>
      <c r="WE20" s="549">
        <v>-19500000</v>
      </c>
      <c r="WF20" s="549">
        <v>-5250000</v>
      </c>
      <c r="WG20" s="549">
        <f>-6030000-800000</f>
        <v>-6830000</v>
      </c>
      <c r="WH20" s="549">
        <f>-300000-850000</f>
        <v>-1150000</v>
      </c>
      <c r="WI20" s="546">
        <f t="shared" si="143"/>
        <v>-6830000</v>
      </c>
      <c r="WJ20" s="544">
        <f t="shared" si="144"/>
        <v>-1150000</v>
      </c>
      <c r="WK20" s="539"/>
      <c r="WL20" s="539"/>
      <c r="WM20" s="1547">
        <f>'План и исполнение'!WE20+'План и исполнение'!WG20</f>
        <v>-26330000</v>
      </c>
      <c r="WN20" s="1547">
        <f>'План и исполнение'!WF20+'План и исполнение'!WH20</f>
        <v>-6400000</v>
      </c>
      <c r="WO20" s="1154"/>
    </row>
    <row r="21" spans="1:613" s="340" customFormat="1" ht="25.5" customHeight="1" x14ac:dyDescent="0.3">
      <c r="A21" s="349" t="s">
        <v>88</v>
      </c>
      <c r="B21" s="542">
        <f>D21+AI21+'План и исполнение'!RA21+'План и исполнение'!SG21</f>
        <v>274377297.15999997</v>
      </c>
      <c r="C21" s="535">
        <f>E21+'План и исполнение'!RD21+AJ21+'План и исполнение'!SH21</f>
        <v>151952733.08000001</v>
      </c>
      <c r="D21" s="540">
        <f t="shared" si="0"/>
        <v>45718500</v>
      </c>
      <c r="E21" s="542">
        <f t="shared" si="1"/>
        <v>26538125</v>
      </c>
      <c r="F21" s="603">
        <f>'[1]Дотация  из  ОБ_факт'!M17</f>
        <v>23648100</v>
      </c>
      <c r="G21" s="1551">
        <v>14498925</v>
      </c>
      <c r="H21" s="1556">
        <f>'[1]Дотация  из  ОБ_факт'!G17</f>
        <v>3771000</v>
      </c>
      <c r="I21" s="1551">
        <v>1885500</v>
      </c>
      <c r="J21" s="604">
        <f t="shared" si="2"/>
        <v>3771000</v>
      </c>
      <c r="K21" s="611">
        <f t="shared" si="3"/>
        <v>1885500</v>
      </c>
      <c r="L21" s="891">
        <f>'[1]Дотация  из  ОБ_факт'!K17</f>
        <v>0</v>
      </c>
      <c r="M21" s="782"/>
      <c r="N21" s="603">
        <f>'[1]Дотация  из  ОБ_факт'!Q17</f>
        <v>408000</v>
      </c>
      <c r="O21" s="1054">
        <v>408000</v>
      </c>
      <c r="P21" s="603">
        <f>'[1]Дотация  из  ОБ_факт'!S17</f>
        <v>17891400</v>
      </c>
      <c r="Q21" s="1048">
        <v>9745700</v>
      </c>
      <c r="R21" s="611">
        <f t="shared" si="4"/>
        <v>17891400</v>
      </c>
      <c r="S21" s="605">
        <f t="shared" si="5"/>
        <v>9745700</v>
      </c>
      <c r="T21" s="891">
        <f>'[1]Дотация  из  ОБ_факт'!W17</f>
        <v>0</v>
      </c>
      <c r="U21" s="643"/>
      <c r="V21" s="603">
        <f>'[1]Дотация  из  ОБ_факт'!AA17+'[1]Дотация  из  ОБ_факт'!AC17+'[1]Дотация  из  ОБ_факт'!AG17</f>
        <v>0</v>
      </c>
      <c r="W21" s="465">
        <f t="shared" si="6"/>
        <v>0</v>
      </c>
      <c r="X21" s="607"/>
      <c r="Y21" s="606"/>
      <c r="Z21" s="607"/>
      <c r="AA21" s="603">
        <f>'[1]Дотация  из  ОБ_факт'!Y17+'[1]Дотация  из  ОБ_факт'!AE17</f>
        <v>0</v>
      </c>
      <c r="AB21" s="170">
        <f t="shared" si="7"/>
        <v>0</v>
      </c>
      <c r="AC21" s="606"/>
      <c r="AD21" s="607"/>
      <c r="AE21" s="604">
        <f t="shared" si="8"/>
        <v>0</v>
      </c>
      <c r="AF21" s="611">
        <f t="shared" si="9"/>
        <v>0</v>
      </c>
      <c r="AG21" s="604">
        <f>'[1]Дотация  из  ОБ_факт'!AE17</f>
        <v>0</v>
      </c>
      <c r="AH21" s="772"/>
      <c r="AI21" s="599">
        <f>'План и исполнение'!LQ21+'План и исполнение'!QS21+'План и исполнение'!QU21+CQ21+CS21+CY21+DA21+BS21+CA21+'План и исполнение'!JQ21+'План и исполнение'!KA21+'План и исполнение'!EC21+'План и исполнение'!LE21+DM21+'План и исполнение'!IM21+'План и исполнение'!IS21+'План и исполнение'!MM21+'План и исполнение'!MU21+IG21+'План и исполнение'!MA21+FK21+EY21+PO21+ES21+AK21+AU21+FE21+JK21+GG21+GQ21+DG21+PU21+FQ21+EI21+QA21+NY21+GA21+CM21+HU21+IA21+NS21</f>
        <v>48661987.159999996</v>
      </c>
      <c r="AJ21" s="504">
        <f>'План и исполнение'!LV21+'План и исполнение'!QT21+'План и исполнение'!QV21+CR21+CT21+CZ21+DB21+BW21+CE21+'План и исполнение'!JV21+'План и исполнение'!KF21+'План и исполнение'!EF21+'План и исполнение'!LK21+DU21+'План и исполнение'!IP21+'План и исполнение'!IV21+'План и исполнение'!MQ21+'План и исполнение'!MY21+IJ21+'План и исполнение'!ME21+FH21+FN21+FB21+PR21+EV21+AP21+AY21+JN21+GL21+GV21+DJ21+PX21+FT21+EN21+QD21+OF21+GD21+CO21+HX21+ID21+NV21</f>
        <v>14477086.350000001</v>
      </c>
      <c r="AK21" s="504">
        <f t="shared" si="10"/>
        <v>0</v>
      </c>
      <c r="AL21" s="343">
        <f>[1]Субсидия_факт!DB19</f>
        <v>0</v>
      </c>
      <c r="AM21" s="516">
        <f>[1]Субсидия_факт!FF19</f>
        <v>0</v>
      </c>
      <c r="AN21" s="514">
        <f>[1]Субсидия_факт!FR19</f>
        <v>0</v>
      </c>
      <c r="AO21" s="516">
        <f>[1]Субсидия_факт!MZ19</f>
        <v>0</v>
      </c>
      <c r="AP21" s="504">
        <f t="shared" si="11"/>
        <v>0</v>
      </c>
      <c r="AQ21" s="479"/>
      <c r="AR21" s="479"/>
      <c r="AS21" s="479"/>
      <c r="AT21" s="479"/>
      <c r="AU21" s="504">
        <f t="shared" si="12"/>
        <v>0</v>
      </c>
      <c r="AV21" s="469">
        <f>[1]Субсидия_факт!DD19</f>
        <v>0</v>
      </c>
      <c r="AW21" s="343">
        <f>[1]Субсидия_факт!FJ19</f>
        <v>0</v>
      </c>
      <c r="AX21" s="514">
        <f>[1]Субсидия_факт!NB19</f>
        <v>0</v>
      </c>
      <c r="AY21" s="504">
        <f t="shared" si="13"/>
        <v>0</v>
      </c>
      <c r="AZ21" s="547"/>
      <c r="BA21" s="547"/>
      <c r="BB21" s="548"/>
      <c r="BC21" s="697">
        <f t="shared" si="14"/>
        <v>0</v>
      </c>
      <c r="BD21" s="680">
        <f t="shared" si="15"/>
        <v>0</v>
      </c>
      <c r="BE21" s="469">
        <f t="shared" si="16"/>
        <v>0</v>
      </c>
      <c r="BF21" s="343">
        <f t="shared" si="17"/>
        <v>0</v>
      </c>
      <c r="BG21" s="697">
        <f t="shared" si="18"/>
        <v>0</v>
      </c>
      <c r="BH21" s="647">
        <f t="shared" si="19"/>
        <v>0</v>
      </c>
      <c r="BI21" s="514">
        <f t="shared" si="20"/>
        <v>0</v>
      </c>
      <c r="BJ21" s="343">
        <f t="shared" si="21"/>
        <v>0</v>
      </c>
      <c r="BK21" s="697">
        <f t="shared" si="22"/>
        <v>0</v>
      </c>
      <c r="BL21" s="469">
        <f>[1]Субсидия_факт!DF19</f>
        <v>0</v>
      </c>
      <c r="BM21" s="343">
        <f>[1]Субсидия_факт!FL19</f>
        <v>0</v>
      </c>
      <c r="BN21" s="469">
        <f>[1]Субсидия_факт!ND19</f>
        <v>0</v>
      </c>
      <c r="BO21" s="697">
        <f t="shared" si="23"/>
        <v>0</v>
      </c>
      <c r="BP21" s="548"/>
      <c r="BQ21" s="547"/>
      <c r="BR21" s="548"/>
      <c r="BS21" s="535">
        <f t="shared" si="145"/>
        <v>8208948</v>
      </c>
      <c r="BT21" s="449">
        <f>[1]Субсидия_факт!IL19</f>
        <v>0</v>
      </c>
      <c r="BU21" s="343">
        <f>[1]Субсидия_факт!IR19</f>
        <v>8208948</v>
      </c>
      <c r="BV21" s="529">
        <f>[1]Субсидия_факт!JD19</f>
        <v>0</v>
      </c>
      <c r="BW21" s="535">
        <f t="shared" si="146"/>
        <v>1527317.65</v>
      </c>
      <c r="BX21" s="547"/>
      <c r="BY21" s="547">
        <v>1527317.65</v>
      </c>
      <c r="BZ21" s="650"/>
      <c r="CA21" s="535">
        <f t="shared" si="147"/>
        <v>0</v>
      </c>
      <c r="CB21" s="469">
        <f>[1]Субсидия_факт!IN19</f>
        <v>0</v>
      </c>
      <c r="CC21" s="343">
        <f>[1]Субсидия_факт!IT19</f>
        <v>0</v>
      </c>
      <c r="CD21" s="529">
        <f>[1]Субсидия_факт!JF19</f>
        <v>0</v>
      </c>
      <c r="CE21" s="535">
        <f t="shared" si="148"/>
        <v>0</v>
      </c>
      <c r="CF21" s="547"/>
      <c r="CG21" s="548"/>
      <c r="CH21" s="760"/>
      <c r="CI21" s="546">
        <f t="shared" si="24"/>
        <v>0</v>
      </c>
      <c r="CJ21" s="544">
        <f t="shared" si="25"/>
        <v>0</v>
      </c>
      <c r="CK21" s="543">
        <f t="shared" si="149"/>
        <v>0</v>
      </c>
      <c r="CL21" s="546">
        <f t="shared" si="150"/>
        <v>0</v>
      </c>
      <c r="CM21" s="965">
        <f t="shared" si="151"/>
        <v>0</v>
      </c>
      <c r="CN21" s="721">
        <f>[1]Субсидия_факт!FT19</f>
        <v>0</v>
      </c>
      <c r="CO21" s="965">
        <f t="shared" si="151"/>
        <v>0</v>
      </c>
      <c r="CP21" s="721"/>
      <c r="CQ21" s="534">
        <f>[1]Субсидия_факт!FV19</f>
        <v>0</v>
      </c>
      <c r="CR21" s="644"/>
      <c r="CS21" s="535">
        <f>[1]Субсидия_факт!FX19</f>
        <v>0</v>
      </c>
      <c r="CT21" s="644"/>
      <c r="CU21" s="544">
        <f t="shared" si="26"/>
        <v>0</v>
      </c>
      <c r="CV21" s="543">
        <f t="shared" si="27"/>
        <v>0</v>
      </c>
      <c r="CW21" s="610">
        <f>[1]Субсидия_факт!FZ19</f>
        <v>0</v>
      </c>
      <c r="CX21" s="643"/>
      <c r="CY21" s="542">
        <f>[1]Субсидия_факт!GB19</f>
        <v>0</v>
      </c>
      <c r="CZ21" s="341"/>
      <c r="DA21" s="534">
        <f>[1]Субсидия_факт!GD19</f>
        <v>0</v>
      </c>
      <c r="DB21" s="644"/>
      <c r="DC21" s="544">
        <f t="shared" si="28"/>
        <v>0</v>
      </c>
      <c r="DD21" s="544">
        <f t="shared" si="29"/>
        <v>0</v>
      </c>
      <c r="DE21" s="691">
        <f>[1]Субсидия_факт!GF19</f>
        <v>0</v>
      </c>
      <c r="DF21" s="342"/>
      <c r="DG21" s="504">
        <f t="shared" si="30"/>
        <v>0</v>
      </c>
      <c r="DH21" s="529">
        <f>[1]Субсидия_факт!EV19</f>
        <v>0</v>
      </c>
      <c r="DI21" s="896">
        <f>[1]Субсидия_факт!EX19</f>
        <v>0</v>
      </c>
      <c r="DJ21" s="471">
        <f t="shared" si="31"/>
        <v>0</v>
      </c>
      <c r="DK21" s="809"/>
      <c r="DL21" s="1083"/>
      <c r="DM21" s="542">
        <f t="shared" si="32"/>
        <v>1000000</v>
      </c>
      <c r="DN21" s="541">
        <f>[1]Субсидия_факт!R19</f>
        <v>0</v>
      </c>
      <c r="DO21" s="1210">
        <f>[1]Субсидия_факт!T19</f>
        <v>0</v>
      </c>
      <c r="DP21" s="713">
        <f>[1]Субсидия_факт!V19</f>
        <v>0</v>
      </c>
      <c r="DQ21" s="673">
        <f>[1]Субсидия_факт!X19</f>
        <v>0</v>
      </c>
      <c r="DR21" s="814">
        <f>[1]Субсидия_факт!Z19</f>
        <v>0</v>
      </c>
      <c r="DS21" s="516">
        <f>[1]Субсидия_факт!AB19</f>
        <v>1000000</v>
      </c>
      <c r="DT21" s="673">
        <f>[1]Субсидия_факт!AD19</f>
        <v>0</v>
      </c>
      <c r="DU21" s="535">
        <f t="shared" si="33"/>
        <v>377894.94</v>
      </c>
      <c r="DV21" s="548"/>
      <c r="DW21" s="547"/>
      <c r="DX21" s="717"/>
      <c r="DY21" s="547"/>
      <c r="DZ21" s="717"/>
      <c r="EA21" s="548">
        <v>377894.94</v>
      </c>
      <c r="EB21" s="1210">
        <f t="shared" si="214"/>
        <v>0</v>
      </c>
      <c r="EC21" s="504">
        <f t="shared" si="34"/>
        <v>0</v>
      </c>
      <c r="ED21" s="529">
        <f>[1]Субсидия_факт!BN19</f>
        <v>0</v>
      </c>
      <c r="EE21" s="896">
        <f>[1]Субсидия_факт!BP19</f>
        <v>0</v>
      </c>
      <c r="EF21" s="471">
        <f t="shared" si="35"/>
        <v>0</v>
      </c>
      <c r="EG21" s="809"/>
      <c r="EH21" s="1083"/>
      <c r="EI21" s="542">
        <f t="shared" si="152"/>
        <v>0</v>
      </c>
      <c r="EJ21" s="469">
        <f>[1]Субсидия_факт!AJ19</f>
        <v>0</v>
      </c>
      <c r="EK21" s="721">
        <f>[1]Субсидия_факт!AL19</f>
        <v>0</v>
      </c>
      <c r="EL21" s="449">
        <f>[1]Субсидия_факт!AN19</f>
        <v>0</v>
      </c>
      <c r="EM21" s="721">
        <f>[1]Субсидия_факт!AP19</f>
        <v>0</v>
      </c>
      <c r="EN21" s="535">
        <f t="shared" si="153"/>
        <v>0</v>
      </c>
      <c r="EO21" s="479"/>
      <c r="EP21" s="717"/>
      <c r="EQ21" s="479"/>
      <c r="ER21" s="717"/>
      <c r="ES21" s="504">
        <f t="shared" si="36"/>
        <v>0</v>
      </c>
      <c r="ET21" s="529">
        <f>[1]Субсидия_факт!AX19</f>
        <v>0</v>
      </c>
      <c r="EU21" s="789">
        <f>[1]Субсидия_факт!AZ19</f>
        <v>0</v>
      </c>
      <c r="EV21" s="471">
        <f t="shared" si="37"/>
        <v>0</v>
      </c>
      <c r="EW21" s="809"/>
      <c r="EX21" s="708"/>
      <c r="EY21" s="504">
        <f t="shared" si="38"/>
        <v>0</v>
      </c>
      <c r="EZ21" s="529">
        <f>[1]Субсидия_факт!BZ19</f>
        <v>0</v>
      </c>
      <c r="FA21" s="896">
        <f>[1]Субсидия_факт!CB19</f>
        <v>0</v>
      </c>
      <c r="FB21" s="471">
        <f t="shared" si="39"/>
        <v>0</v>
      </c>
      <c r="FC21" s="809"/>
      <c r="FD21" s="708"/>
      <c r="FE21" s="504">
        <f t="shared" si="40"/>
        <v>0</v>
      </c>
      <c r="FF21" s="529">
        <f>[1]Субсидия_факт!BR19</f>
        <v>0</v>
      </c>
      <c r="FG21" s="896">
        <f>[1]Субсидия_факт!BT19</f>
        <v>0</v>
      </c>
      <c r="FH21" s="471">
        <f t="shared" si="41"/>
        <v>0</v>
      </c>
      <c r="FI21" s="809"/>
      <c r="FJ21" s="708"/>
      <c r="FK21" s="504">
        <f t="shared" si="42"/>
        <v>0</v>
      </c>
      <c r="FL21" s="529">
        <f>[1]Субсидия_факт!KJ19</f>
        <v>0</v>
      </c>
      <c r="FM21" s="896">
        <f>[1]Субсидия_факт!KL19</f>
        <v>0</v>
      </c>
      <c r="FN21" s="471">
        <f t="shared" si="43"/>
        <v>0</v>
      </c>
      <c r="FO21" s="809"/>
      <c r="FP21" s="708"/>
      <c r="FQ21" s="504">
        <f t="shared" si="44"/>
        <v>0</v>
      </c>
      <c r="FR21" s="529">
        <f>[1]Субсидия_факт!KN19</f>
        <v>0</v>
      </c>
      <c r="FS21" s="896">
        <f>[1]Субсидия_факт!KR19</f>
        <v>0</v>
      </c>
      <c r="FT21" s="471">
        <f t="shared" si="45"/>
        <v>0</v>
      </c>
      <c r="FU21" s="809"/>
      <c r="FV21" s="708"/>
      <c r="FW21" s="695">
        <f t="shared" si="154"/>
        <v>0</v>
      </c>
      <c r="FX21" s="697">
        <f t="shared" si="155"/>
        <v>0</v>
      </c>
      <c r="FY21" s="695">
        <f t="shared" si="156"/>
        <v>0</v>
      </c>
      <c r="FZ21" s="697">
        <f t="shared" si="157"/>
        <v>0</v>
      </c>
      <c r="GA21" s="504">
        <f t="shared" si="158"/>
        <v>0</v>
      </c>
      <c r="GB21" s="1374">
        <f>[1]Субсидия_факт!BJ19</f>
        <v>0</v>
      </c>
      <c r="GC21" s="706">
        <f>[1]Субсидия_факт!BL19</f>
        <v>0</v>
      </c>
      <c r="GD21" s="504">
        <f t="shared" si="159"/>
        <v>0</v>
      </c>
      <c r="GE21" s="760"/>
      <c r="GF21" s="708"/>
      <c r="GG21" s="504">
        <f t="shared" si="46"/>
        <v>0</v>
      </c>
      <c r="GH21" s="760"/>
      <c r="GI21" s="708"/>
      <c r="GJ21" s="529"/>
      <c r="GK21" s="896"/>
      <c r="GL21" s="471">
        <f t="shared" si="47"/>
        <v>0</v>
      </c>
      <c r="GM21" s="760"/>
      <c r="GN21" s="708"/>
      <c r="GO21" s="760"/>
      <c r="GP21" s="708"/>
      <c r="GQ21" s="471">
        <f t="shared" si="160"/>
        <v>0</v>
      </c>
      <c r="GR21" s="1374">
        <f>[1]Субсидия_факт!GJ19</f>
        <v>0</v>
      </c>
      <c r="GS21" s="706">
        <f>[1]Субсидия_факт!GN19</f>
        <v>0</v>
      </c>
      <c r="GT21" s="529">
        <f>[1]Субсидия_факт!GX19</f>
        <v>0</v>
      </c>
      <c r="GU21" s="896">
        <f>[1]Субсидия_факт!HB19</f>
        <v>0</v>
      </c>
      <c r="GV21" s="471">
        <f t="shared" si="161"/>
        <v>0</v>
      </c>
      <c r="GW21" s="760"/>
      <c r="GX21" s="708"/>
      <c r="GY21" s="760"/>
      <c r="GZ21" s="708"/>
      <c r="HA21" s="695">
        <f t="shared" si="162"/>
        <v>0</v>
      </c>
      <c r="HB21" s="1374">
        <f t="shared" si="48"/>
        <v>0</v>
      </c>
      <c r="HC21" s="1375">
        <f t="shared" si="49"/>
        <v>0</v>
      </c>
      <c r="HD21" s="529">
        <f t="shared" si="50"/>
        <v>0</v>
      </c>
      <c r="HE21" s="896">
        <f t="shared" si="51"/>
        <v>0</v>
      </c>
      <c r="HF21" s="695">
        <f t="shared" si="163"/>
        <v>0</v>
      </c>
      <c r="HG21" s="1374">
        <f t="shared" si="52"/>
        <v>0</v>
      </c>
      <c r="HH21" s="1375">
        <f t="shared" si="53"/>
        <v>0</v>
      </c>
      <c r="HI21" s="529">
        <f t="shared" si="54"/>
        <v>0</v>
      </c>
      <c r="HJ21" s="896">
        <f t="shared" si="55"/>
        <v>0</v>
      </c>
      <c r="HK21" s="695">
        <f t="shared" si="164"/>
        <v>0</v>
      </c>
      <c r="HL21" s="1374">
        <f>[1]Субсидия_факт!GL19</f>
        <v>0</v>
      </c>
      <c r="HM21" s="706">
        <f>[1]Субсидия_факт!GP19</f>
        <v>0</v>
      </c>
      <c r="HN21" s="529">
        <f>[1]Субсидия_факт!GZ19</f>
        <v>0</v>
      </c>
      <c r="HO21" s="896">
        <f>[1]Субсидия_факт!HD19</f>
        <v>0</v>
      </c>
      <c r="HP21" s="695">
        <f t="shared" si="165"/>
        <v>0</v>
      </c>
      <c r="HQ21" s="760"/>
      <c r="HR21" s="708"/>
      <c r="HS21" s="760"/>
      <c r="HT21" s="708"/>
      <c r="HU21" s="542">
        <f t="shared" si="56"/>
        <v>0</v>
      </c>
      <c r="HV21" s="531">
        <f>[1]Субсидия_факт!N19</f>
        <v>0</v>
      </c>
      <c r="HW21" s="789">
        <f>[1]Субсидия_факт!P19</f>
        <v>0</v>
      </c>
      <c r="HX21" s="535">
        <f t="shared" si="57"/>
        <v>0</v>
      </c>
      <c r="HY21" s="547"/>
      <c r="HZ21" s="739"/>
      <c r="IA21" s="542">
        <f t="shared" si="58"/>
        <v>0</v>
      </c>
      <c r="IB21" s="541">
        <f>[1]Субсидия_факт!DZ19</f>
        <v>0</v>
      </c>
      <c r="IC21" s="721">
        <f>[1]Субсидия_факт!EB19</f>
        <v>0</v>
      </c>
      <c r="ID21" s="534">
        <f t="shared" si="59"/>
        <v>0</v>
      </c>
      <c r="IE21" s="547"/>
      <c r="IF21" s="739"/>
      <c r="IG21" s="542">
        <f t="shared" si="166"/>
        <v>0</v>
      </c>
      <c r="IH21" s="531">
        <f>[1]Субсидия_факт!EP19</f>
        <v>0</v>
      </c>
      <c r="II21" s="789">
        <f>[1]Субсидия_факт!ER19</f>
        <v>0</v>
      </c>
      <c r="IJ21" s="535">
        <f t="shared" si="167"/>
        <v>0</v>
      </c>
      <c r="IK21" s="547"/>
      <c r="IL21" s="739"/>
      <c r="IM21" s="599">
        <f t="shared" si="62"/>
        <v>397398.82999999996</v>
      </c>
      <c r="IN21" s="529">
        <f>[1]Субсидия_факт!ED19</f>
        <v>111272.22</v>
      </c>
      <c r="IO21" s="896">
        <f>[1]Субсидия_факт!EJ19</f>
        <v>286126.61</v>
      </c>
      <c r="IP21" s="471">
        <f t="shared" si="63"/>
        <v>397398.82999999996</v>
      </c>
      <c r="IQ21" s="1374">
        <f>IN21</f>
        <v>111272.22</v>
      </c>
      <c r="IR21" s="706">
        <f>IO21</f>
        <v>286126.61</v>
      </c>
      <c r="IS21" s="471">
        <f t="shared" si="64"/>
        <v>496976.47</v>
      </c>
      <c r="IT21" s="529">
        <f>[1]Субсидия_факт!EF19</f>
        <v>139154.09</v>
      </c>
      <c r="IU21" s="789">
        <f>[1]Субсидия_факт!EL19</f>
        <v>357822.38</v>
      </c>
      <c r="IV21" s="471">
        <f t="shared" si="65"/>
        <v>463815.68999999994</v>
      </c>
      <c r="IW21" s="650">
        <v>129869.03</v>
      </c>
      <c r="IX21" s="742">
        <v>333946.65999999997</v>
      </c>
      <c r="IY21" s="697">
        <f t="shared" si="66"/>
        <v>496976.47</v>
      </c>
      <c r="IZ21" s="787">
        <f>'План и исполнение'!IT21-'План и исполнение'!JF21</f>
        <v>139154.09</v>
      </c>
      <c r="JA21" s="706">
        <f>'План и исполнение'!IU21-'План и исполнение'!JG21</f>
        <v>357822.38</v>
      </c>
      <c r="JB21" s="691">
        <f t="shared" si="67"/>
        <v>463815.68999999994</v>
      </c>
      <c r="JC21" s="793">
        <f>'План и исполнение'!IW21-'План и исполнение'!JI21</f>
        <v>129869.03</v>
      </c>
      <c r="JD21" s="804">
        <f>'План и исполнение'!IX21-'План и исполнение'!JJ21</f>
        <v>333946.65999999997</v>
      </c>
      <c r="JE21" s="697">
        <f t="shared" si="68"/>
        <v>0</v>
      </c>
      <c r="JF21" s="529">
        <f>[1]Субсидия_факт!EH19</f>
        <v>0</v>
      </c>
      <c r="JG21" s="896">
        <f>[1]Субсидия_факт!EN19</f>
        <v>0</v>
      </c>
      <c r="JH21" s="697">
        <f t="shared" si="69"/>
        <v>0</v>
      </c>
      <c r="JI21" s="529"/>
      <c r="JJ21" s="789"/>
      <c r="JK21" s="471">
        <f t="shared" si="70"/>
        <v>0</v>
      </c>
      <c r="JL21" s="793">
        <f>[1]Субсидия_факт!AR19</f>
        <v>0</v>
      </c>
      <c r="JM21" s="706">
        <f>[1]Субсидия_факт!AT19</f>
        <v>0</v>
      </c>
      <c r="JN21" s="471">
        <f t="shared" si="71"/>
        <v>0</v>
      </c>
      <c r="JO21" s="650"/>
      <c r="JP21" s="708"/>
      <c r="JQ21" s="785">
        <f t="shared" si="72"/>
        <v>0</v>
      </c>
      <c r="JR21" s="793">
        <f>[1]Субсидия_факт!CJ19</f>
        <v>0</v>
      </c>
      <c r="JS21" s="706">
        <f>[1]Субсидия_факт!CP19</f>
        <v>0</v>
      </c>
      <c r="JT21" s="529">
        <f>[1]Субсидия_факт!DN19</f>
        <v>0</v>
      </c>
      <c r="JU21" s="896">
        <f>[1]Субсидия_факт!DT19</f>
        <v>0</v>
      </c>
      <c r="JV21" s="471">
        <f t="shared" si="73"/>
        <v>0</v>
      </c>
      <c r="JW21" s="650"/>
      <c r="JX21" s="708"/>
      <c r="JY21" s="650"/>
      <c r="JZ21" s="892"/>
      <c r="KA21" s="785">
        <f t="shared" si="74"/>
        <v>0</v>
      </c>
      <c r="KB21" s="793">
        <f>[1]Субсидия_факт!CL19</f>
        <v>0</v>
      </c>
      <c r="KC21" s="706">
        <f>[1]Субсидия_факт!CR19</f>
        <v>0</v>
      </c>
      <c r="KD21" s="529">
        <f>[1]Субсидия_факт!DP19</f>
        <v>0</v>
      </c>
      <c r="KE21" s="896">
        <f>[1]Субсидия_факт!DV19</f>
        <v>0</v>
      </c>
      <c r="KF21" s="471">
        <f t="shared" si="75"/>
        <v>0</v>
      </c>
      <c r="KG21" s="650"/>
      <c r="KH21" s="708"/>
      <c r="KI21" s="809"/>
      <c r="KJ21" s="708"/>
      <c r="KK21" s="788">
        <f t="shared" si="76"/>
        <v>0</v>
      </c>
      <c r="KL21" s="793">
        <f>'План и исполнение'!KB21-KV21</f>
        <v>0</v>
      </c>
      <c r="KM21" s="706">
        <f>'План и исполнение'!KC21-KW21</f>
        <v>0</v>
      </c>
      <c r="KN21" s="787">
        <f>'План и исполнение'!KD21-KX21</f>
        <v>0</v>
      </c>
      <c r="KO21" s="706">
        <f>'План и исполнение'!KE21-KY21</f>
        <v>0</v>
      </c>
      <c r="KP21" s="788">
        <f t="shared" si="77"/>
        <v>0</v>
      </c>
      <c r="KQ21" s="793">
        <f>'План и исполнение'!KG21-LA21</f>
        <v>0</v>
      </c>
      <c r="KR21" s="830">
        <f>'План и исполнение'!KH21-LB21</f>
        <v>0</v>
      </c>
      <c r="KS21" s="793">
        <f>'План и исполнение'!KI21-LC21</f>
        <v>0</v>
      </c>
      <c r="KT21" s="804">
        <f>'План и исполнение'!KJ21-LD21</f>
        <v>0</v>
      </c>
      <c r="KU21" s="697">
        <f t="shared" si="78"/>
        <v>0</v>
      </c>
      <c r="KV21" s="793">
        <f>[1]Субсидия_факт!CN19</f>
        <v>0</v>
      </c>
      <c r="KW21" s="706">
        <f>[1]Субсидия_факт!CT19</f>
        <v>0</v>
      </c>
      <c r="KX21" s="529">
        <f>[1]Субсидия_факт!DR19</f>
        <v>0</v>
      </c>
      <c r="KY21" s="896">
        <f>[1]Субсидия_факт!DX19</f>
        <v>0</v>
      </c>
      <c r="KZ21" s="697">
        <f t="shared" si="79"/>
        <v>0</v>
      </c>
      <c r="LA21" s="650"/>
      <c r="LB21" s="708"/>
      <c r="LC21" s="531"/>
      <c r="LD21" s="1639"/>
      <c r="LE21" s="504">
        <f t="shared" si="168"/>
        <v>0</v>
      </c>
      <c r="LF21" s="529">
        <f>[1]Субсидия_факт!CD19</f>
        <v>0</v>
      </c>
      <c r="LG21" s="789">
        <f>[1]Субсидия_факт!CF19</f>
        <v>0</v>
      </c>
      <c r="LH21" s="529">
        <f>[1]Субсидия_факт!BV19</f>
        <v>0</v>
      </c>
      <c r="LI21" s="789">
        <f>[1]Субсидия_факт!BX19</f>
        <v>0</v>
      </c>
      <c r="LJ21" s="529">
        <f>[1]Субсидия_факт!CH19</f>
        <v>0</v>
      </c>
      <c r="LK21" s="471">
        <f t="shared" si="169"/>
        <v>0</v>
      </c>
      <c r="LL21" s="650"/>
      <c r="LM21" s="708"/>
      <c r="LN21" s="650"/>
      <c r="LO21" s="708"/>
      <c r="LP21" s="650"/>
      <c r="LQ21" s="504">
        <f t="shared" si="80"/>
        <v>0</v>
      </c>
      <c r="LR21" s="516">
        <f>[1]Субсидия_факт!HN19</f>
        <v>0</v>
      </c>
      <c r="LS21" s="529">
        <f>[1]Субсидия_факт!HL19</f>
        <v>0</v>
      </c>
      <c r="LT21" s="541">
        <f>[1]Субсидия_факт!HV19</f>
        <v>0</v>
      </c>
      <c r="LU21" s="721">
        <f>[1]Субсидия_факт!HX19</f>
        <v>0</v>
      </c>
      <c r="LV21" s="471">
        <f t="shared" si="81"/>
        <v>0</v>
      </c>
      <c r="LW21" s="344"/>
      <c r="LX21" s="650"/>
      <c r="LY21" s="479"/>
      <c r="LZ21" s="717"/>
      <c r="MA21" s="471">
        <f t="shared" si="82"/>
        <v>0</v>
      </c>
      <c r="MB21" s="531">
        <f>[1]Субсидия_факт!HT19</f>
        <v>0</v>
      </c>
      <c r="MC21" s="531">
        <f>[1]Субсидия_факт!HP19</f>
        <v>0</v>
      </c>
      <c r="MD21" s="789">
        <f>[1]Субсидия_факт!HR19</f>
        <v>0</v>
      </c>
      <c r="ME21" s="471">
        <f t="shared" si="83"/>
        <v>0</v>
      </c>
      <c r="MF21" s="793">
        <f t="shared" si="170"/>
        <v>0</v>
      </c>
      <c r="MG21" s="650"/>
      <c r="MH21" s="708"/>
      <c r="MI21" s="893">
        <f t="shared" si="84"/>
        <v>0</v>
      </c>
      <c r="MJ21" s="893">
        <f t="shared" si="85"/>
        <v>0</v>
      </c>
      <c r="MK21" s="695">
        <f t="shared" si="86"/>
        <v>0</v>
      </c>
      <c r="ML21" s="1028">
        <f t="shared" si="87"/>
        <v>0</v>
      </c>
      <c r="MM21" s="791">
        <f t="shared" si="216"/>
        <v>0</v>
      </c>
      <c r="MN21" s="529">
        <f>[1]Субсидия_факт!LH19</f>
        <v>0</v>
      </c>
      <c r="MO21" s="896">
        <f>[1]Субсидия_факт!LN19</f>
        <v>0</v>
      </c>
      <c r="MP21" s="531"/>
      <c r="MQ21" s="791">
        <f t="shared" si="171"/>
        <v>0</v>
      </c>
      <c r="MR21" s="809"/>
      <c r="MS21" s="708"/>
      <c r="MT21" s="531"/>
      <c r="MU21" s="791">
        <f t="shared" si="172"/>
        <v>7000000</v>
      </c>
      <c r="MV21" s="529">
        <f>[1]Субсидия_факт!LJ19</f>
        <v>0</v>
      </c>
      <c r="MW21" s="896">
        <f>[1]Субсидия_факт!LP19</f>
        <v>0</v>
      </c>
      <c r="MX21" s="531">
        <f>[1]Субсидия_факт!LT19</f>
        <v>7000000</v>
      </c>
      <c r="MY21" s="791">
        <f t="shared" si="173"/>
        <v>6907844.5899999999</v>
      </c>
      <c r="MZ21" s="650"/>
      <c r="NA21" s="808"/>
      <c r="NB21" s="650">
        <v>6907844.5899999999</v>
      </c>
      <c r="NC21" s="792">
        <f t="shared" si="175"/>
        <v>7000000</v>
      </c>
      <c r="ND21" s="680">
        <f>'План и исполнение'!MV21-NL21</f>
        <v>0</v>
      </c>
      <c r="NE21" s="713">
        <f>'План и исполнение'!MW21-NM21</f>
        <v>0</v>
      </c>
      <c r="NF21" s="647">
        <f>'План и исполнение'!MX21-NN21</f>
        <v>7000000</v>
      </c>
      <c r="NG21" s="792">
        <f t="shared" si="176"/>
        <v>6907844.5899999999</v>
      </c>
      <c r="NH21" s="787">
        <f>'План и исполнение'!MZ21-NP21</f>
        <v>0</v>
      </c>
      <c r="NI21" s="706">
        <f>'План и исполнение'!NA21-NQ21</f>
        <v>0</v>
      </c>
      <c r="NJ21" s="793">
        <f>'План и исполнение'!NB21-NR21</f>
        <v>6907844.5899999999</v>
      </c>
      <c r="NK21" s="792">
        <f t="shared" si="177"/>
        <v>0</v>
      </c>
      <c r="NL21" s="529">
        <f>[1]Субсидия_факт!LL19</f>
        <v>0</v>
      </c>
      <c r="NM21" s="896">
        <f>[1]Субсидия_факт!LR19</f>
        <v>0</v>
      </c>
      <c r="NN21" s="529">
        <f>[1]Субсидия_факт!LV19</f>
        <v>0</v>
      </c>
      <c r="NO21" s="792">
        <f t="shared" si="178"/>
        <v>0</v>
      </c>
      <c r="NP21" s="787">
        <f t="shared" si="179"/>
        <v>0</v>
      </c>
      <c r="NQ21" s="706">
        <f t="shared" si="180"/>
        <v>0</v>
      </c>
      <c r="NR21" s="529">
        <f t="shared" si="215"/>
        <v>0</v>
      </c>
      <c r="NS21" s="535">
        <f t="shared" si="181"/>
        <v>0</v>
      </c>
      <c r="NT21" s="1285">
        <f>[1]Субсидия_факт!NF19</f>
        <v>0</v>
      </c>
      <c r="NU21" s="713">
        <f>[1]Субсидия_факт!NH19</f>
        <v>0</v>
      </c>
      <c r="NV21" s="535">
        <f t="shared" si="182"/>
        <v>0</v>
      </c>
      <c r="NW21" s="344"/>
      <c r="NX21" s="739"/>
      <c r="NY21" s="535">
        <f t="shared" si="183"/>
        <v>5135089.25</v>
      </c>
      <c r="NZ21" s="1194">
        <f>[1]Субсидия_факт!LX19</f>
        <v>0</v>
      </c>
      <c r="OA21" s="1295">
        <f>[1]Субсидия_факт!MB19</f>
        <v>0</v>
      </c>
      <c r="OB21" s="1194">
        <f>[1]Субсидия_факт!MF19</f>
        <v>1437824.98</v>
      </c>
      <c r="OC21" s="713">
        <f>[1]Субсидия_факт!MJ19</f>
        <v>3697264.27</v>
      </c>
      <c r="OD21" s="1285">
        <f>[1]Субсидия_факт!NJ19</f>
        <v>0</v>
      </c>
      <c r="OE21" s="713">
        <f>[1]Субсидия_факт!NN19</f>
        <v>0</v>
      </c>
      <c r="OF21" s="535">
        <f t="shared" si="184"/>
        <v>0</v>
      </c>
      <c r="OG21" s="493"/>
      <c r="OH21" s="746"/>
      <c r="OI21" s="344"/>
      <c r="OJ21" s="739"/>
      <c r="OK21" s="493"/>
      <c r="OL21" s="746"/>
      <c r="OM21" s="610">
        <f t="shared" si="185"/>
        <v>5135089.25</v>
      </c>
      <c r="ON21" s="1194">
        <f t="shared" si="88"/>
        <v>0</v>
      </c>
      <c r="OO21" s="713">
        <f t="shared" si="89"/>
        <v>0</v>
      </c>
      <c r="OP21" s="493">
        <f t="shared" si="90"/>
        <v>1437824.98</v>
      </c>
      <c r="OQ21" s="713">
        <f t="shared" si="91"/>
        <v>3697264.27</v>
      </c>
      <c r="OR21" s="1285">
        <f t="shared" si="92"/>
        <v>0</v>
      </c>
      <c r="OS21" s="713">
        <f t="shared" si="93"/>
        <v>0</v>
      </c>
      <c r="OT21" s="610">
        <f t="shared" si="186"/>
        <v>0</v>
      </c>
      <c r="OU21" s="1194">
        <f t="shared" si="94"/>
        <v>0</v>
      </c>
      <c r="OV21" s="713">
        <f t="shared" si="95"/>
        <v>0</v>
      </c>
      <c r="OW21" s="493">
        <f t="shared" si="96"/>
        <v>0</v>
      </c>
      <c r="OX21" s="713">
        <f t="shared" si="97"/>
        <v>0</v>
      </c>
      <c r="OY21" s="1285">
        <f t="shared" si="98"/>
        <v>0</v>
      </c>
      <c r="OZ21" s="713">
        <f t="shared" si="99"/>
        <v>0</v>
      </c>
      <c r="PA21" s="610">
        <f t="shared" si="187"/>
        <v>0</v>
      </c>
      <c r="PB21" s="1194">
        <f>[1]Субсидия_факт!LZ19</f>
        <v>0</v>
      </c>
      <c r="PC21" s="1295">
        <f>[1]Субсидия_факт!MD19</f>
        <v>0</v>
      </c>
      <c r="PD21" s="1194">
        <f>[1]Субсидия_факт!MH19</f>
        <v>0</v>
      </c>
      <c r="PE21" s="713">
        <f>[1]Субсидия_факт!ML19</f>
        <v>0</v>
      </c>
      <c r="PF21" s="991">
        <f>[1]Субсидия_факт!NL19</f>
        <v>0</v>
      </c>
      <c r="PG21" s="801">
        <f>[1]Субсидия_факт!NP19</f>
        <v>0</v>
      </c>
      <c r="PH21" s="610">
        <f t="shared" si="188"/>
        <v>0</v>
      </c>
      <c r="PI21" s="991"/>
      <c r="PJ21" s="746"/>
      <c r="PK21" s="493"/>
      <c r="PL21" s="746"/>
      <c r="PM21" s="493"/>
      <c r="PN21" s="746"/>
      <c r="PO21" s="504">
        <f t="shared" si="100"/>
        <v>0</v>
      </c>
      <c r="PP21" s="529">
        <f>[1]Субсидия_факт!AF19</f>
        <v>0</v>
      </c>
      <c r="PQ21" s="896">
        <f>[1]Субсидия_факт!AH19</f>
        <v>0</v>
      </c>
      <c r="PR21" s="471">
        <f t="shared" si="101"/>
        <v>0</v>
      </c>
      <c r="PS21" s="809"/>
      <c r="PT21" s="708"/>
      <c r="PU21" s="535">
        <f t="shared" si="102"/>
        <v>0</v>
      </c>
      <c r="PV21" s="673">
        <f>[1]Субсидия_факт!MN19</f>
        <v>0</v>
      </c>
      <c r="PW21" s="814">
        <f>[1]Субсидия_факт!MP19</f>
        <v>0</v>
      </c>
      <c r="PX21" s="535">
        <f t="shared" si="103"/>
        <v>0</v>
      </c>
      <c r="PY21" s="1377"/>
      <c r="PZ21" s="717"/>
      <c r="QA21" s="535">
        <f t="shared" si="104"/>
        <v>0</v>
      </c>
      <c r="QB21" s="1194">
        <f>[1]Субсидия_факт!MR19</f>
        <v>0</v>
      </c>
      <c r="QC21" s="713">
        <f>[1]Субсидия_факт!MV19</f>
        <v>0</v>
      </c>
      <c r="QD21" s="535">
        <f t="shared" si="105"/>
        <v>0</v>
      </c>
      <c r="QE21" s="479"/>
      <c r="QF21" s="717"/>
      <c r="QG21" s="610">
        <f t="shared" si="106"/>
        <v>0</v>
      </c>
      <c r="QH21" s="1194">
        <f t="shared" si="107"/>
        <v>0</v>
      </c>
      <c r="QI21" s="713">
        <f t="shared" si="108"/>
        <v>0</v>
      </c>
      <c r="QJ21" s="610">
        <f t="shared" si="109"/>
        <v>0</v>
      </c>
      <c r="QK21" s="1194">
        <f t="shared" si="110"/>
        <v>0</v>
      </c>
      <c r="QL21" s="713">
        <f t="shared" si="111"/>
        <v>0</v>
      </c>
      <c r="QM21" s="610">
        <f t="shared" si="112"/>
        <v>0</v>
      </c>
      <c r="QN21" s="1210">
        <f>[1]Субсидия_факт!MT19</f>
        <v>0</v>
      </c>
      <c r="QO21" s="713">
        <f>[1]Субсидия_факт!MX19</f>
        <v>0</v>
      </c>
      <c r="QP21" s="610">
        <f t="shared" si="113"/>
        <v>0</v>
      </c>
      <c r="QQ21" s="479"/>
      <c r="QR21" s="717"/>
      <c r="QS21" s="535">
        <f>'Прочая  субсидия_МР  и  ГО'!B17</f>
        <v>21868301.849999998</v>
      </c>
      <c r="QT21" s="535">
        <f>'Прочая  субсидия_МР  и  ГО'!C17</f>
        <v>2763897.85</v>
      </c>
      <c r="QU21" s="540">
        <f>'Прочая  субсидия_БП'!B17</f>
        <v>4555272.76</v>
      </c>
      <c r="QV21" s="542">
        <f>'Прочая  субсидия_БП'!C17</f>
        <v>2038916.8</v>
      </c>
      <c r="QW21" s="605">
        <f>'Прочая  субсидия_БП'!D17</f>
        <v>4555272.76</v>
      </c>
      <c r="QX21" s="604">
        <f>'Прочая  субсидия_БП'!E17</f>
        <v>2038916.8</v>
      </c>
      <c r="QY21" s="611">
        <f>'Прочая  субсидия_БП'!F17</f>
        <v>0</v>
      </c>
      <c r="QZ21" s="605">
        <f>'Прочая  субсидия_БП'!G17</f>
        <v>0</v>
      </c>
      <c r="RA21" s="542">
        <f t="shared" si="189"/>
        <v>179996810</v>
      </c>
      <c r="RB21" s="469">
        <f>'План и исполнение'!RZ21+'План и исполнение'!RG21+'План и исполнение'!RI21+'План и исполнение'!RK21</f>
        <v>177843110</v>
      </c>
      <c r="RC21" s="343">
        <f>'План и исполнение'!SB21+'План и исполнение'!RM21+'План и исполнение'!RS21+'План и исполнение'!RO21+'План и исполнение'!RQ21+RU21+RW21+SA21</f>
        <v>2153700</v>
      </c>
      <c r="RD21" s="534">
        <f t="shared" si="190"/>
        <v>110937521.73</v>
      </c>
      <c r="RE21" s="541">
        <f>'План и исполнение'!SD21+'План и исполнение'!RH21+'План и исполнение'!RJ21+'План и исполнение'!RL21</f>
        <v>109835385</v>
      </c>
      <c r="RF21" s="343">
        <f>'План и исполнение'!SF21+'План и исполнение'!RN21+'План и исполнение'!RT21+'План и исполнение'!RP21+'План и исполнение'!RR21+RV21+RX21+SE21</f>
        <v>1102136.73</v>
      </c>
      <c r="RG21" s="599">
        <f>'Субвенция  на  полномочия'!B17</f>
        <v>167762210</v>
      </c>
      <c r="RH21" s="471">
        <f>'Субвенция  на  полномочия'!C17</f>
        <v>102060385</v>
      </c>
      <c r="RI21" s="768">
        <f>[1]Субвенция_факт!P18*1000</f>
        <v>7406600</v>
      </c>
      <c r="RJ21" s="771">
        <v>6200000</v>
      </c>
      <c r="RK21" s="768">
        <f>[1]Субвенция_факт!K18*1000</f>
        <v>1897100</v>
      </c>
      <c r="RL21" s="771">
        <v>1120000</v>
      </c>
      <c r="RM21" s="768">
        <f>[1]Субвенция_факт!AF18*1000</f>
        <v>673700</v>
      </c>
      <c r="RN21" s="771">
        <v>305883.59000000003</v>
      </c>
      <c r="RO21" s="768">
        <f>[1]Субвенция_факт!AG18*1000</f>
        <v>0</v>
      </c>
      <c r="RP21" s="771">
        <v>0</v>
      </c>
      <c r="RQ21" s="768">
        <f>[1]Субвенция_факт!E18*1000</f>
        <v>0</v>
      </c>
      <c r="RR21" s="771"/>
      <c r="RS21" s="768">
        <f>[1]Субвенция_факт!F18*1000</f>
        <v>0</v>
      </c>
      <c r="RT21" s="877"/>
      <c r="RU21" s="168">
        <f>[1]Субвенция_факт!G18*1000</f>
        <v>0</v>
      </c>
      <c r="RV21" s="1241"/>
      <c r="RW21" s="168">
        <f>[1]Субвенция_факт!H18*1000</f>
        <v>0</v>
      </c>
      <c r="RX21" s="878"/>
      <c r="RY21" s="504">
        <f t="shared" si="191"/>
        <v>2257200</v>
      </c>
      <c r="RZ21" s="887">
        <f>[1]Субвенция_факт!AE18*1000</f>
        <v>777200</v>
      </c>
      <c r="SA21" s="882">
        <f>[1]Субвенция_факт!AD18*1000</f>
        <v>0</v>
      </c>
      <c r="SB21" s="1158">
        <f>[1]Субвенция_факт!AC18*1000</f>
        <v>1480000</v>
      </c>
      <c r="SC21" s="535">
        <f t="shared" si="116"/>
        <v>1251253.1400000001</v>
      </c>
      <c r="SD21" s="974">
        <v>455000</v>
      </c>
      <c r="SE21" s="1645"/>
      <c r="SF21" s="1652">
        <v>796253.14</v>
      </c>
      <c r="SG21" s="279">
        <f>'План и исполнение'!VI21+'План и исполнение'!VA21+'План и исполнение'!TA21+'План и исполнение'!TE21+UO21+UU21+SO21+SS21+TM21+TQ21+UE21+SI21+TY21</f>
        <v>0</v>
      </c>
      <c r="SH21" s="168">
        <f>'План и исполнение'!VK21+'План и исполнение'!VE21+'План и исполнение'!TC21+'План и исполнение'!TG21+UR21+UX21+SQ21+SU21+TO21+TS21+UH21+SL21+UB21</f>
        <v>0</v>
      </c>
      <c r="SI21" s="540">
        <f t="shared" si="117"/>
        <v>0</v>
      </c>
      <c r="SJ21" s="887">
        <f>'[1]Иные межбюджетные трансферты'!E19</f>
        <v>0</v>
      </c>
      <c r="SK21" s="945">
        <f>'[1]Иные межбюджетные трансферты'!G19</f>
        <v>0</v>
      </c>
      <c r="SL21" s="535">
        <f t="shared" si="118"/>
        <v>0</v>
      </c>
      <c r="SM21" s="1323"/>
      <c r="SN21" s="1464"/>
      <c r="SO21" s="1335">
        <f t="shared" si="192"/>
        <v>0</v>
      </c>
      <c r="SP21" s="1115">
        <f>'[1]Иные межбюджетные трансферты'!W19</f>
        <v>0</v>
      </c>
      <c r="SQ21" s="1333">
        <f t="shared" si="193"/>
        <v>0</v>
      </c>
      <c r="SR21" s="1334"/>
      <c r="SS21" s="1336">
        <f t="shared" si="194"/>
        <v>0</v>
      </c>
      <c r="ST21" s="1115">
        <f>'[1]Иные межбюджетные трансферты'!Y19</f>
        <v>0</v>
      </c>
      <c r="SU21" s="1344">
        <f t="shared" si="195"/>
        <v>0</v>
      </c>
      <c r="SV21" s="1334"/>
      <c r="SW21" s="1336">
        <f t="shared" si="196"/>
        <v>0</v>
      </c>
      <c r="SX21" s="1344">
        <f t="shared" si="197"/>
        <v>0</v>
      </c>
      <c r="SY21" s="1355">
        <f t="shared" si="198"/>
        <v>0</v>
      </c>
      <c r="SZ21" s="1344">
        <f t="shared" si="199"/>
        <v>0</v>
      </c>
      <c r="TA21" s="1350">
        <f t="shared" si="119"/>
        <v>0</v>
      </c>
      <c r="TB21" s="1115">
        <f>'[1]Иные межбюджетные трансферты'!AC19</f>
        <v>0</v>
      </c>
      <c r="TC21" s="965">
        <f t="shared" si="120"/>
        <v>0</v>
      </c>
      <c r="TD21" s="945"/>
      <c r="TE21" s="971">
        <f t="shared" si="121"/>
        <v>0</v>
      </c>
      <c r="TF21" s="1115">
        <f>'[1]Иные межбюджетные трансферты'!AE19</f>
        <v>0</v>
      </c>
      <c r="TG21" s="965">
        <f t="shared" si="122"/>
        <v>0</v>
      </c>
      <c r="TH21" s="1214"/>
      <c r="TI21" s="968">
        <f t="shared" si="123"/>
        <v>0</v>
      </c>
      <c r="TJ21" s="962">
        <f t="shared" si="124"/>
        <v>0</v>
      </c>
      <c r="TK21" s="1219">
        <f t="shared" si="200"/>
        <v>0</v>
      </c>
      <c r="TL21" s="962">
        <f t="shared" si="201"/>
        <v>0</v>
      </c>
      <c r="TM21" s="971">
        <f t="shared" si="125"/>
        <v>0</v>
      </c>
      <c r="TN21" s="1115">
        <f>'[1]Иные межбюджетные трансферты'!AI19</f>
        <v>0</v>
      </c>
      <c r="TO21" s="965">
        <f t="shared" si="126"/>
        <v>0</v>
      </c>
      <c r="TP21" s="945"/>
      <c r="TQ21" s="971">
        <f t="shared" si="127"/>
        <v>0</v>
      </c>
      <c r="TR21" s="1115">
        <f>'[1]Иные межбюджетные трансферты'!AK19</f>
        <v>0</v>
      </c>
      <c r="TS21" s="965">
        <f t="shared" si="128"/>
        <v>0</v>
      </c>
      <c r="TT21" s="1214"/>
      <c r="TU21" s="968">
        <f t="shared" si="129"/>
        <v>0</v>
      </c>
      <c r="TV21" s="962">
        <f t="shared" si="130"/>
        <v>0</v>
      </c>
      <c r="TW21" s="1219">
        <f t="shared" si="202"/>
        <v>0</v>
      </c>
      <c r="TX21" s="968">
        <f t="shared" si="203"/>
        <v>0</v>
      </c>
      <c r="TY21" s="971">
        <f t="shared" si="204"/>
        <v>0</v>
      </c>
      <c r="TZ21" s="1210"/>
      <c r="UA21" s="713"/>
      <c r="UB21" s="971">
        <f t="shared" si="205"/>
        <v>0</v>
      </c>
      <c r="UC21" s="810"/>
      <c r="UD21" s="717"/>
      <c r="UE21" s="971">
        <f t="shared" si="206"/>
        <v>0</v>
      </c>
      <c r="UF21" s="1210">
        <f>'[1]Иные межбюджетные трансферты'!AS19</f>
        <v>0</v>
      </c>
      <c r="UG21" s="713">
        <f>'[1]Иные межбюджетные трансферты'!AW19</f>
        <v>0</v>
      </c>
      <c r="UH21" s="965">
        <f t="shared" si="207"/>
        <v>0</v>
      </c>
      <c r="UI21" s="1484"/>
      <c r="UJ21" s="804"/>
      <c r="UK21" s="865">
        <f t="shared" si="208"/>
        <v>0</v>
      </c>
      <c r="UL21" s="865">
        <f t="shared" si="209"/>
        <v>0</v>
      </c>
      <c r="UM21" s="865">
        <f t="shared" si="210"/>
        <v>0</v>
      </c>
      <c r="UN21" s="1493">
        <f t="shared" si="211"/>
        <v>0</v>
      </c>
      <c r="UO21" s="1267">
        <f t="shared" si="131"/>
        <v>0</v>
      </c>
      <c r="UP21" s="1029">
        <f>'[1]Иные межбюджетные трансферты'!S19</f>
        <v>0</v>
      </c>
      <c r="UQ21" s="1266">
        <f>'[1]Иные межбюджетные трансферты'!U19</f>
        <v>0</v>
      </c>
      <c r="UR21" s="769">
        <f t="shared" si="132"/>
        <v>0</v>
      </c>
      <c r="US21" s="1029"/>
      <c r="UT21" s="1266"/>
      <c r="UU21" s="1267">
        <f t="shared" si="133"/>
        <v>0</v>
      </c>
      <c r="UV21" s="1029">
        <f>'[1]Иные межбюджетные трансферты'!O19</f>
        <v>0</v>
      </c>
      <c r="UW21" s="1266">
        <f>'[1]Иные межбюджетные трансферты'!Q19</f>
        <v>0</v>
      </c>
      <c r="UX21" s="769">
        <f t="shared" si="134"/>
        <v>0</v>
      </c>
      <c r="UY21" s="1029"/>
      <c r="UZ21" s="1266"/>
      <c r="VA21" s="888">
        <f t="shared" si="212"/>
        <v>0</v>
      </c>
      <c r="VB21" s="887">
        <f>'[1]Иные межбюджетные трансферты'!I19</f>
        <v>0</v>
      </c>
      <c r="VC21" s="945">
        <f>'[1]Иные межбюджетные трансферты'!K19</f>
        <v>0</v>
      </c>
      <c r="VD21" s="1158">
        <f>'[1]Иные межбюджетные трансферты'!M19</f>
        <v>0</v>
      </c>
      <c r="VE21" s="888">
        <f t="shared" si="213"/>
        <v>0</v>
      </c>
      <c r="VF21" s="980"/>
      <c r="VG21" s="978"/>
      <c r="VH21" s="1323"/>
      <c r="VI21" s="528">
        <f t="shared" si="135"/>
        <v>0</v>
      </c>
      <c r="VJ21" s="882"/>
      <c r="VK21" s="888">
        <f t="shared" si="136"/>
        <v>0</v>
      </c>
      <c r="VL21" s="531"/>
      <c r="VM21" s="893">
        <f t="shared" si="137"/>
        <v>0</v>
      </c>
      <c r="VN21" s="529"/>
      <c r="VO21" s="893">
        <f t="shared" si="138"/>
        <v>0</v>
      </c>
      <c r="VP21" s="529"/>
      <c r="VQ21" s="893">
        <f t="shared" si="139"/>
        <v>0</v>
      </c>
      <c r="VR21" s="882"/>
      <c r="VS21" s="1028">
        <f t="shared" si="140"/>
        <v>0</v>
      </c>
      <c r="VT21" s="531"/>
      <c r="VU21" s="535">
        <f>VW21+'План и исполнение'!WE21+WA21+'План и исполнение'!WI21+WC21+'План и исполнение'!WK21</f>
        <v>-23300000</v>
      </c>
      <c r="VV21" s="535">
        <f>VX21+'План и исполнение'!WF21+WB21+'План и исполнение'!WJ21+WD21+'План и исполнение'!WL21</f>
        <v>-5350000</v>
      </c>
      <c r="VW21" s="549"/>
      <c r="VX21" s="549"/>
      <c r="VY21" s="549"/>
      <c r="VZ21" s="549"/>
      <c r="WA21" s="546">
        <f t="shared" si="141"/>
        <v>0</v>
      </c>
      <c r="WB21" s="544">
        <f t="shared" si="142"/>
        <v>0</v>
      </c>
      <c r="WC21" s="550"/>
      <c r="WD21" s="539"/>
      <c r="WE21" s="549">
        <v>-22200000</v>
      </c>
      <c r="WF21" s="549">
        <v>-5350000</v>
      </c>
      <c r="WG21" s="549">
        <v>-1100000</v>
      </c>
      <c r="WH21" s="549"/>
      <c r="WI21" s="546">
        <f t="shared" si="143"/>
        <v>-1100000</v>
      </c>
      <c r="WJ21" s="544">
        <f t="shared" si="144"/>
        <v>0</v>
      </c>
      <c r="WK21" s="539"/>
      <c r="WL21" s="539"/>
      <c r="WM21" s="1547">
        <f>'План и исполнение'!WE21+'План и исполнение'!WG21</f>
        <v>-23300000</v>
      </c>
      <c r="WN21" s="1547">
        <f>'План и исполнение'!WF21+'План и исполнение'!WH21</f>
        <v>-5350000</v>
      </c>
      <c r="WO21" s="1154"/>
    </row>
    <row r="22" spans="1:613" s="340" customFormat="1" ht="25.5" customHeight="1" x14ac:dyDescent="0.3">
      <c r="A22" s="350" t="s">
        <v>89</v>
      </c>
      <c r="B22" s="542">
        <f>D22+AI22+'План и исполнение'!RA22+'План и исполнение'!SG22</f>
        <v>786132004.27999997</v>
      </c>
      <c r="C22" s="535">
        <f>E22+'План и исполнение'!RD22+AJ22+'План и исполнение'!SH22</f>
        <v>334410908.04999995</v>
      </c>
      <c r="D22" s="540">
        <f t="shared" si="0"/>
        <v>148336005</v>
      </c>
      <c r="E22" s="542">
        <f t="shared" si="1"/>
        <v>64318397.370000005</v>
      </c>
      <c r="F22" s="603">
        <f>'[1]Дотация  из  ОБ_факт'!M18</f>
        <v>87025000</v>
      </c>
      <c r="G22" s="1551">
        <v>32413296</v>
      </c>
      <c r="H22" s="1556">
        <f>'[1]Дотация  из  ОБ_факт'!G18</f>
        <v>27017000</v>
      </c>
      <c r="I22" s="1551">
        <v>16230499.779999999</v>
      </c>
      <c r="J22" s="604">
        <f t="shared" si="2"/>
        <v>21617000</v>
      </c>
      <c r="K22" s="611">
        <f t="shared" si="3"/>
        <v>10830499.779999999</v>
      </c>
      <c r="L22" s="891">
        <f>'[1]Дотация  из  ОБ_факт'!K18</f>
        <v>5400000</v>
      </c>
      <c r="M22" s="782">
        <v>5400000</v>
      </c>
      <c r="N22" s="603">
        <f>'[1]Дотация  из  ОБ_факт'!Q18</f>
        <v>867000</v>
      </c>
      <c r="O22" s="1054">
        <v>867000</v>
      </c>
      <c r="P22" s="603">
        <f>'[1]Дотация  из  ОБ_факт'!S18</f>
        <v>30815700</v>
      </c>
      <c r="Q22" s="1048">
        <v>12907851.59</v>
      </c>
      <c r="R22" s="611">
        <f t="shared" si="4"/>
        <v>23838500</v>
      </c>
      <c r="S22" s="605">
        <f t="shared" si="5"/>
        <v>11319251.390000001</v>
      </c>
      <c r="T22" s="891">
        <f>'[1]Дотация  из  ОБ_факт'!W18</f>
        <v>6977200</v>
      </c>
      <c r="U22" s="643">
        <v>1588600.2</v>
      </c>
      <c r="V22" s="603">
        <f>'[1]Дотация  из  ОБ_факт'!AA18+'[1]Дотация  из  ОБ_факт'!AC18+'[1]Дотация  из  ОБ_факт'!AG18</f>
        <v>711555</v>
      </c>
      <c r="W22" s="465">
        <f t="shared" si="6"/>
        <v>0</v>
      </c>
      <c r="X22" s="607"/>
      <c r="Y22" s="606"/>
      <c r="Z22" s="607"/>
      <c r="AA22" s="603">
        <f>'[1]Дотация  из  ОБ_факт'!Y18+'[1]Дотация  из  ОБ_факт'!AE18</f>
        <v>1899750</v>
      </c>
      <c r="AB22" s="170">
        <f t="shared" si="7"/>
        <v>1899750</v>
      </c>
      <c r="AC22" s="606">
        <v>1899750</v>
      </c>
      <c r="AD22" s="607"/>
      <c r="AE22" s="604">
        <f t="shared" si="8"/>
        <v>1899750</v>
      </c>
      <c r="AF22" s="611">
        <f t="shared" si="9"/>
        <v>1899750</v>
      </c>
      <c r="AG22" s="604">
        <f>'[1]Дотация  из  ОБ_факт'!AE18</f>
        <v>0</v>
      </c>
      <c r="AH22" s="772"/>
      <c r="AI22" s="599">
        <f>'План и исполнение'!LQ22+'План и исполнение'!QS22+'План и исполнение'!QU22+CQ22+CS22+CY22+DA22+BS22+CA22+'План и исполнение'!JQ22+'План и исполнение'!KA22+'План и исполнение'!EC22+'План и исполнение'!LE22+DM22+'План и исполнение'!IM22+'План и исполнение'!IS22+'План и исполнение'!MM22+'План и исполнение'!MU22+IG22+'План и исполнение'!MA22+FK22+EY22+PO22+ES22+AK22+AU22+FE22+JK22+GG22+GQ22+DG22+PU22+FQ22+EI22+QA22+NY22+GA22+CM22+HU22+IA22+NS22</f>
        <v>220976250.27999997</v>
      </c>
      <c r="AJ22" s="504">
        <f>'План и исполнение'!LV22+'План и исполнение'!QT22+'План и исполнение'!QV22+CR22+CT22+CZ22+DB22+BW22+CE22+'План и исполнение'!JV22+'План и исполнение'!KF22+'План и исполнение'!EF22+'План и исполнение'!LK22+DU22+'План и исполнение'!IP22+'План и исполнение'!IV22+'План и исполнение'!MQ22+'План и исполнение'!MY22+IJ22+'План и исполнение'!ME22+FH22+FN22+FB22+PR22+EV22+AP22+AY22+JN22+GL22+GV22+DJ22+PX22+FT22+EN22+QD22+OF22+GD22+CO22+HX22+ID22+NV22</f>
        <v>36429014.900000006</v>
      </c>
      <c r="AK22" s="504">
        <f t="shared" si="10"/>
        <v>13821650</v>
      </c>
      <c r="AL22" s="343">
        <f>[1]Субсидия_факт!DB20</f>
        <v>0</v>
      </c>
      <c r="AM22" s="516">
        <f>[1]Субсидия_факт!FF20</f>
        <v>13821650</v>
      </c>
      <c r="AN22" s="514">
        <f>[1]Субсидия_факт!FR20</f>
        <v>0</v>
      </c>
      <c r="AO22" s="516">
        <f>[1]Субсидия_факт!MZ20</f>
        <v>0</v>
      </c>
      <c r="AP22" s="504">
        <f t="shared" si="11"/>
        <v>0</v>
      </c>
      <c r="AQ22" s="479"/>
      <c r="AR22" s="479"/>
      <c r="AS22" s="479"/>
      <c r="AT22" s="479"/>
      <c r="AU22" s="504">
        <f t="shared" si="12"/>
        <v>0</v>
      </c>
      <c r="AV22" s="469">
        <f>[1]Субсидия_факт!DD20</f>
        <v>0</v>
      </c>
      <c r="AW22" s="343">
        <f>[1]Субсидия_факт!FJ20</f>
        <v>0</v>
      </c>
      <c r="AX22" s="514">
        <f>[1]Субсидия_факт!NB20</f>
        <v>0</v>
      </c>
      <c r="AY22" s="504">
        <f t="shared" si="13"/>
        <v>0</v>
      </c>
      <c r="AZ22" s="547"/>
      <c r="BA22" s="547"/>
      <c r="BB22" s="548"/>
      <c r="BC22" s="697">
        <f t="shared" si="14"/>
        <v>0</v>
      </c>
      <c r="BD22" s="680">
        <f t="shared" si="15"/>
        <v>0</v>
      </c>
      <c r="BE22" s="469">
        <f t="shared" si="16"/>
        <v>0</v>
      </c>
      <c r="BF22" s="343">
        <f t="shared" si="17"/>
        <v>0</v>
      </c>
      <c r="BG22" s="697">
        <f t="shared" si="18"/>
        <v>0</v>
      </c>
      <c r="BH22" s="647">
        <f t="shared" si="19"/>
        <v>0</v>
      </c>
      <c r="BI22" s="514">
        <f t="shared" si="20"/>
        <v>0</v>
      </c>
      <c r="BJ22" s="343">
        <f t="shared" si="21"/>
        <v>0</v>
      </c>
      <c r="BK22" s="697">
        <f t="shared" si="22"/>
        <v>0</v>
      </c>
      <c r="BL22" s="469">
        <f>[1]Субсидия_факт!DF20</f>
        <v>0</v>
      </c>
      <c r="BM22" s="343">
        <f>[1]Субсидия_факт!FL20</f>
        <v>0</v>
      </c>
      <c r="BN22" s="469">
        <f>[1]Субсидия_факт!ND20</f>
        <v>0</v>
      </c>
      <c r="BO22" s="697">
        <f t="shared" si="23"/>
        <v>0</v>
      </c>
      <c r="BP22" s="548"/>
      <c r="BQ22" s="547"/>
      <c r="BR22" s="548"/>
      <c r="BS22" s="535">
        <f t="shared" si="145"/>
        <v>16591112</v>
      </c>
      <c r="BT22" s="449">
        <f>[1]Субсидия_факт!IL20</f>
        <v>0</v>
      </c>
      <c r="BU22" s="343">
        <f>[1]Субсидия_факт!IR20</f>
        <v>16591112</v>
      </c>
      <c r="BV22" s="529">
        <f>[1]Субсидия_факт!JD20</f>
        <v>0</v>
      </c>
      <c r="BW22" s="535">
        <f t="shared" si="146"/>
        <v>0</v>
      </c>
      <c r="BX22" s="547"/>
      <c r="BY22" s="547"/>
      <c r="BZ22" s="650"/>
      <c r="CA22" s="535">
        <f t="shared" si="147"/>
        <v>33608009</v>
      </c>
      <c r="CB22" s="469">
        <f>[1]Субсидия_факт!IN20</f>
        <v>9791360</v>
      </c>
      <c r="CC22" s="343">
        <f>[1]Субсидия_факт!IT20</f>
        <v>23816649</v>
      </c>
      <c r="CD22" s="529">
        <f>[1]Субсидия_факт!JF20</f>
        <v>0</v>
      </c>
      <c r="CE22" s="535">
        <f t="shared" si="148"/>
        <v>0</v>
      </c>
      <c r="CF22" s="547"/>
      <c r="CG22" s="548"/>
      <c r="CH22" s="760"/>
      <c r="CI22" s="546">
        <f t="shared" si="24"/>
        <v>0</v>
      </c>
      <c r="CJ22" s="544">
        <f t="shared" si="25"/>
        <v>0</v>
      </c>
      <c r="CK22" s="543">
        <f t="shared" si="149"/>
        <v>33608009</v>
      </c>
      <c r="CL22" s="546">
        <f t="shared" si="150"/>
        <v>0</v>
      </c>
      <c r="CM22" s="965">
        <f t="shared" si="151"/>
        <v>0</v>
      </c>
      <c r="CN22" s="721">
        <f>[1]Субсидия_факт!FT20</f>
        <v>0</v>
      </c>
      <c r="CO22" s="965">
        <f t="shared" si="151"/>
        <v>0</v>
      </c>
      <c r="CP22" s="721"/>
      <c r="CQ22" s="534">
        <f>[1]Субсидия_факт!FV20</f>
        <v>0</v>
      </c>
      <c r="CR22" s="644"/>
      <c r="CS22" s="535">
        <f>[1]Субсидия_факт!FX20</f>
        <v>35464825.579999998</v>
      </c>
      <c r="CT22" s="644">
        <f>10639447.67</f>
        <v>10639447.67</v>
      </c>
      <c r="CU22" s="544">
        <f t="shared" si="26"/>
        <v>0</v>
      </c>
      <c r="CV22" s="543">
        <f t="shared" si="27"/>
        <v>0</v>
      </c>
      <c r="CW22" s="610">
        <f>[1]Субсидия_факт!FZ20</f>
        <v>35464825.579999998</v>
      </c>
      <c r="CX22" s="1608">
        <f>CT22</f>
        <v>10639447.67</v>
      </c>
      <c r="CY22" s="542">
        <f>[1]Субсидия_факт!GB20</f>
        <v>0</v>
      </c>
      <c r="CZ22" s="341"/>
      <c r="DA22" s="534">
        <f>[1]Субсидия_факт!GD20</f>
        <v>12732570.309999999</v>
      </c>
      <c r="DB22" s="644">
        <v>3819771.09</v>
      </c>
      <c r="DC22" s="544">
        <f t="shared" si="28"/>
        <v>0</v>
      </c>
      <c r="DD22" s="544">
        <f t="shared" si="29"/>
        <v>0</v>
      </c>
      <c r="DE22" s="691">
        <f>[1]Субсидия_факт!GF20</f>
        <v>12732570.309999999</v>
      </c>
      <c r="DF22" s="1609">
        <f>DB22</f>
        <v>3819771.09</v>
      </c>
      <c r="DG22" s="504">
        <f t="shared" si="30"/>
        <v>0</v>
      </c>
      <c r="DH22" s="529">
        <f>[1]Субсидия_факт!EV20</f>
        <v>0</v>
      </c>
      <c r="DI22" s="896">
        <f>[1]Субсидия_факт!EX20</f>
        <v>0</v>
      </c>
      <c r="DJ22" s="471">
        <f t="shared" si="31"/>
        <v>0</v>
      </c>
      <c r="DK22" s="809"/>
      <c r="DL22" s="1083"/>
      <c r="DM22" s="542">
        <f t="shared" si="32"/>
        <v>3700000</v>
      </c>
      <c r="DN22" s="541">
        <f>[1]Субсидия_факт!R20</f>
        <v>0</v>
      </c>
      <c r="DO22" s="1210">
        <f>[1]Субсидия_факт!T20</f>
        <v>1036000</v>
      </c>
      <c r="DP22" s="713">
        <f>[1]Субсидия_факт!V20</f>
        <v>2664000</v>
      </c>
      <c r="DQ22" s="673">
        <f>[1]Субсидия_факт!X20</f>
        <v>0</v>
      </c>
      <c r="DR22" s="814">
        <f>[1]Субсидия_факт!Z20</f>
        <v>0</v>
      </c>
      <c r="DS22" s="516">
        <f>[1]Субсидия_факт!AB20</f>
        <v>0</v>
      </c>
      <c r="DT22" s="673">
        <f>[1]Субсидия_факт!AD20</f>
        <v>0</v>
      </c>
      <c r="DU22" s="535">
        <f t="shared" si="33"/>
        <v>0</v>
      </c>
      <c r="DV22" s="548"/>
      <c r="DW22" s="547"/>
      <c r="DX22" s="717"/>
      <c r="DY22" s="547"/>
      <c r="DZ22" s="717"/>
      <c r="EA22" s="548"/>
      <c r="EB22" s="1210">
        <f t="shared" si="214"/>
        <v>0</v>
      </c>
      <c r="EC22" s="504">
        <f t="shared" si="34"/>
        <v>3309722.23</v>
      </c>
      <c r="ED22" s="529">
        <f>[1]Субсидия_факт!BN20</f>
        <v>926722.23</v>
      </c>
      <c r="EE22" s="896">
        <f>[1]Субсидия_факт!BP20</f>
        <v>2383000</v>
      </c>
      <c r="EF22" s="471">
        <f t="shared" si="35"/>
        <v>0</v>
      </c>
      <c r="EG22" s="809"/>
      <c r="EH22" s="1083"/>
      <c r="EI22" s="542">
        <f t="shared" si="152"/>
        <v>41263157.899999999</v>
      </c>
      <c r="EJ22" s="469">
        <f>[1]Субсидия_факт!AJ20</f>
        <v>0</v>
      </c>
      <c r="EK22" s="721">
        <f>[1]Субсидия_факт!AL20</f>
        <v>0</v>
      </c>
      <c r="EL22" s="449">
        <f>[1]Субсидия_факт!AN20</f>
        <v>1263157.8999999999</v>
      </c>
      <c r="EM22" s="721">
        <f>[1]Субсидия_факт!AP20</f>
        <v>40000000</v>
      </c>
      <c r="EN22" s="535">
        <f t="shared" si="153"/>
        <v>0</v>
      </c>
      <c r="EO22" s="479"/>
      <c r="EP22" s="717"/>
      <c r="EQ22" s="479"/>
      <c r="ER22" s="717"/>
      <c r="ES22" s="504">
        <f t="shared" si="36"/>
        <v>0</v>
      </c>
      <c r="ET22" s="529">
        <f>[1]Субсидия_факт!AX20</f>
        <v>0</v>
      </c>
      <c r="EU22" s="789">
        <f>[1]Субсидия_факт!AZ20</f>
        <v>0</v>
      </c>
      <c r="EV22" s="471">
        <f t="shared" si="37"/>
        <v>0</v>
      </c>
      <c r="EW22" s="809"/>
      <c r="EX22" s="708"/>
      <c r="EY22" s="504">
        <f t="shared" si="38"/>
        <v>0</v>
      </c>
      <c r="EZ22" s="529">
        <f>[1]Субсидия_факт!BZ20</f>
        <v>0</v>
      </c>
      <c r="FA22" s="896">
        <f>[1]Субсидия_факт!CB20</f>
        <v>0</v>
      </c>
      <c r="FB22" s="471">
        <f t="shared" si="39"/>
        <v>0</v>
      </c>
      <c r="FC22" s="809"/>
      <c r="FD22" s="708"/>
      <c r="FE22" s="504">
        <f t="shared" si="40"/>
        <v>0</v>
      </c>
      <c r="FF22" s="529">
        <f>[1]Субсидия_факт!BR20</f>
        <v>0</v>
      </c>
      <c r="FG22" s="896">
        <f>[1]Субсидия_факт!BT20</f>
        <v>0</v>
      </c>
      <c r="FH22" s="471">
        <f t="shared" si="41"/>
        <v>0</v>
      </c>
      <c r="FI22" s="809"/>
      <c r="FJ22" s="708"/>
      <c r="FK22" s="504">
        <f t="shared" si="42"/>
        <v>0</v>
      </c>
      <c r="FL22" s="529">
        <f>[1]Субсидия_факт!KJ20</f>
        <v>0</v>
      </c>
      <c r="FM22" s="896">
        <f>[1]Субсидия_факт!KL20</f>
        <v>0</v>
      </c>
      <c r="FN22" s="471">
        <f t="shared" si="43"/>
        <v>0</v>
      </c>
      <c r="FO22" s="809"/>
      <c r="FP22" s="708"/>
      <c r="FQ22" s="504">
        <f t="shared" si="44"/>
        <v>0</v>
      </c>
      <c r="FR22" s="529">
        <f>[1]Субсидия_факт!KN20</f>
        <v>0</v>
      </c>
      <c r="FS22" s="896">
        <f>[1]Субсидия_факт!KR20</f>
        <v>0</v>
      </c>
      <c r="FT22" s="471">
        <f t="shared" si="45"/>
        <v>0</v>
      </c>
      <c r="FU22" s="809"/>
      <c r="FV22" s="708"/>
      <c r="FW22" s="695">
        <f t="shared" si="154"/>
        <v>0</v>
      </c>
      <c r="FX22" s="697">
        <f t="shared" si="155"/>
        <v>0</v>
      </c>
      <c r="FY22" s="695">
        <f t="shared" si="156"/>
        <v>0</v>
      </c>
      <c r="FZ22" s="697">
        <f t="shared" si="157"/>
        <v>0</v>
      </c>
      <c r="GA22" s="504">
        <f t="shared" si="158"/>
        <v>0</v>
      </c>
      <c r="GB22" s="1374">
        <f>[1]Субсидия_факт!BJ20</f>
        <v>0</v>
      </c>
      <c r="GC22" s="706">
        <f>[1]Субсидия_факт!BL20</f>
        <v>0</v>
      </c>
      <c r="GD22" s="504">
        <f t="shared" si="159"/>
        <v>0</v>
      </c>
      <c r="GE22" s="760"/>
      <c r="GF22" s="708"/>
      <c r="GG22" s="504">
        <f t="shared" si="46"/>
        <v>0</v>
      </c>
      <c r="GH22" s="760"/>
      <c r="GI22" s="708"/>
      <c r="GJ22" s="529"/>
      <c r="GK22" s="896"/>
      <c r="GL22" s="471">
        <f t="shared" si="47"/>
        <v>0</v>
      </c>
      <c r="GM22" s="760"/>
      <c r="GN22" s="708"/>
      <c r="GO22" s="760"/>
      <c r="GP22" s="708"/>
      <c r="GQ22" s="471">
        <f t="shared" si="160"/>
        <v>105185.48</v>
      </c>
      <c r="GR22" s="1374">
        <f>[1]Субсидия_факт!GJ20</f>
        <v>105185.48</v>
      </c>
      <c r="GS22" s="706">
        <f>[1]Субсидия_факт!GN20</f>
        <v>0</v>
      </c>
      <c r="GT22" s="529">
        <f>[1]Субсидия_факт!GX20</f>
        <v>0</v>
      </c>
      <c r="GU22" s="896">
        <f>[1]Субсидия_факт!HB20</f>
        <v>0</v>
      </c>
      <c r="GV22" s="471">
        <f t="shared" si="161"/>
        <v>0</v>
      </c>
      <c r="GW22" s="760"/>
      <c r="GX22" s="708"/>
      <c r="GY22" s="760"/>
      <c r="GZ22" s="708"/>
      <c r="HA22" s="695">
        <f t="shared" si="162"/>
        <v>105185.48</v>
      </c>
      <c r="HB22" s="1374">
        <f t="shared" si="48"/>
        <v>105185.48</v>
      </c>
      <c r="HC22" s="1375">
        <f t="shared" si="49"/>
        <v>0</v>
      </c>
      <c r="HD22" s="529">
        <f t="shared" si="50"/>
        <v>0</v>
      </c>
      <c r="HE22" s="896">
        <f t="shared" si="51"/>
        <v>0</v>
      </c>
      <c r="HF22" s="695">
        <f t="shared" si="163"/>
        <v>0</v>
      </c>
      <c r="HG22" s="1374">
        <f t="shared" si="52"/>
        <v>0</v>
      </c>
      <c r="HH22" s="1375">
        <f t="shared" si="53"/>
        <v>0</v>
      </c>
      <c r="HI22" s="529">
        <f t="shared" si="54"/>
        <v>0</v>
      </c>
      <c r="HJ22" s="896">
        <f t="shared" si="55"/>
        <v>0</v>
      </c>
      <c r="HK22" s="695">
        <f t="shared" si="164"/>
        <v>0</v>
      </c>
      <c r="HL22" s="1374">
        <f>[1]Субсидия_факт!GL20</f>
        <v>0</v>
      </c>
      <c r="HM22" s="706">
        <f>[1]Субсидия_факт!GP20</f>
        <v>0</v>
      </c>
      <c r="HN22" s="529">
        <f>[1]Субсидия_факт!GZ20</f>
        <v>0</v>
      </c>
      <c r="HO22" s="896">
        <f>[1]Субсидия_факт!HD20</f>
        <v>0</v>
      </c>
      <c r="HP22" s="695">
        <f t="shared" si="165"/>
        <v>0</v>
      </c>
      <c r="HQ22" s="760"/>
      <c r="HR22" s="708"/>
      <c r="HS22" s="760"/>
      <c r="HT22" s="708"/>
      <c r="HU22" s="542">
        <f t="shared" si="56"/>
        <v>0</v>
      </c>
      <c r="HV22" s="531">
        <f>[1]Субсидия_факт!N20</f>
        <v>0</v>
      </c>
      <c r="HW22" s="789">
        <f>[1]Субсидия_факт!P20</f>
        <v>0</v>
      </c>
      <c r="HX22" s="535">
        <f t="shared" si="57"/>
        <v>0</v>
      </c>
      <c r="HY22" s="547"/>
      <c r="HZ22" s="739"/>
      <c r="IA22" s="542">
        <f t="shared" si="58"/>
        <v>0</v>
      </c>
      <c r="IB22" s="541">
        <f>[1]Субсидия_факт!DZ20</f>
        <v>0</v>
      </c>
      <c r="IC22" s="721">
        <f>[1]Субсидия_факт!EB20</f>
        <v>0</v>
      </c>
      <c r="ID22" s="534">
        <f t="shared" si="59"/>
        <v>0</v>
      </c>
      <c r="IE22" s="547"/>
      <c r="IF22" s="739"/>
      <c r="IG22" s="542">
        <f t="shared" si="166"/>
        <v>0</v>
      </c>
      <c r="IH22" s="531">
        <f>[1]Субсидия_факт!EP20</f>
        <v>0</v>
      </c>
      <c r="II22" s="789">
        <f>[1]Субсидия_факт!ER20</f>
        <v>0</v>
      </c>
      <c r="IJ22" s="535">
        <f t="shared" si="167"/>
        <v>0</v>
      </c>
      <c r="IK22" s="547"/>
      <c r="IL22" s="739"/>
      <c r="IM22" s="599">
        <f t="shared" si="62"/>
        <v>612332.44999999995</v>
      </c>
      <c r="IN22" s="529">
        <f>[1]Субсидия_факт!ED20</f>
        <v>171453.93</v>
      </c>
      <c r="IO22" s="896">
        <f>[1]Субсидия_факт!EJ20</f>
        <v>440878.52</v>
      </c>
      <c r="IP22" s="471">
        <f t="shared" si="63"/>
        <v>0</v>
      </c>
      <c r="IQ22" s="760">
        <v>0</v>
      </c>
      <c r="IR22" s="708"/>
      <c r="IS22" s="471">
        <f t="shared" si="64"/>
        <v>3272005.1900000004</v>
      </c>
      <c r="IT22" s="529">
        <f>[1]Субсидия_факт!EF20</f>
        <v>916165.95</v>
      </c>
      <c r="IU22" s="789">
        <f>[1]Субсидия_факт!EL20</f>
        <v>2355839.2400000002</v>
      </c>
      <c r="IV22" s="471">
        <f t="shared" si="65"/>
        <v>2309156.87</v>
      </c>
      <c r="IW22" s="650">
        <v>646567.09</v>
      </c>
      <c r="IX22" s="742">
        <v>1662589.78</v>
      </c>
      <c r="IY22" s="697">
        <f t="shared" si="66"/>
        <v>1411274.8900000001</v>
      </c>
      <c r="IZ22" s="787">
        <f>'План и исполнение'!IT22-'План и исполнение'!JF22</f>
        <v>395158.91</v>
      </c>
      <c r="JA22" s="706">
        <f>'План и исполнение'!IU22-'План и исполнение'!JG22</f>
        <v>1016115.9800000002</v>
      </c>
      <c r="JB22" s="691">
        <f t="shared" si="67"/>
        <v>1344787</v>
      </c>
      <c r="JC22" s="793">
        <f>'План и исполнение'!IW22-'План и исполнение'!JI22</f>
        <v>376542.19999999995</v>
      </c>
      <c r="JD22" s="804">
        <f>'План и исполнение'!IX22-'План и исполнение'!JJ22</f>
        <v>968244.8</v>
      </c>
      <c r="JE22" s="697">
        <f t="shared" si="68"/>
        <v>1860730.3</v>
      </c>
      <c r="JF22" s="529">
        <f>[1]Субсидия_факт!EH20</f>
        <v>521007.04</v>
      </c>
      <c r="JG22" s="896">
        <f>[1]Субсидия_факт!EN20</f>
        <v>1339723.26</v>
      </c>
      <c r="JH22" s="697">
        <f t="shared" si="69"/>
        <v>964369.87</v>
      </c>
      <c r="JI22" s="760">
        <v>270024.89</v>
      </c>
      <c r="JJ22" s="708">
        <v>694344.98</v>
      </c>
      <c r="JK22" s="471">
        <f t="shared" si="70"/>
        <v>0</v>
      </c>
      <c r="JL22" s="793">
        <f>[1]Субсидия_факт!AR20</f>
        <v>0</v>
      </c>
      <c r="JM22" s="706">
        <f>[1]Субсидия_факт!AT20</f>
        <v>0</v>
      </c>
      <c r="JN22" s="471">
        <f t="shared" si="71"/>
        <v>0</v>
      </c>
      <c r="JO22" s="650"/>
      <c r="JP22" s="708"/>
      <c r="JQ22" s="785">
        <f t="shared" si="72"/>
        <v>0</v>
      </c>
      <c r="JR22" s="793">
        <f>[1]Субсидия_факт!CJ20</f>
        <v>0</v>
      </c>
      <c r="JS22" s="706">
        <f>[1]Субсидия_факт!CP20</f>
        <v>0</v>
      </c>
      <c r="JT22" s="529">
        <f>[1]Субсидия_факт!DN20</f>
        <v>0</v>
      </c>
      <c r="JU22" s="896">
        <f>[1]Субсидия_факт!DT20</f>
        <v>0</v>
      </c>
      <c r="JV22" s="471">
        <f t="shared" si="73"/>
        <v>0</v>
      </c>
      <c r="JW22" s="650"/>
      <c r="JX22" s="708"/>
      <c r="JY22" s="650"/>
      <c r="JZ22" s="892"/>
      <c r="KA22" s="785">
        <f t="shared" si="74"/>
        <v>0</v>
      </c>
      <c r="KB22" s="793">
        <f>[1]Субсидия_факт!CL20</f>
        <v>0</v>
      </c>
      <c r="KC22" s="706">
        <f>[1]Субсидия_факт!CR20</f>
        <v>0</v>
      </c>
      <c r="KD22" s="529">
        <f>[1]Субсидия_факт!DP20</f>
        <v>0</v>
      </c>
      <c r="KE22" s="896">
        <f>[1]Субсидия_факт!DV20</f>
        <v>0</v>
      </c>
      <c r="KF22" s="471">
        <f t="shared" si="75"/>
        <v>0</v>
      </c>
      <c r="KG22" s="650"/>
      <c r="KH22" s="708"/>
      <c r="KI22" s="809"/>
      <c r="KJ22" s="708"/>
      <c r="KK22" s="788">
        <f t="shared" si="76"/>
        <v>0</v>
      </c>
      <c r="KL22" s="793">
        <f>'План и исполнение'!KB22-KV22</f>
        <v>0</v>
      </c>
      <c r="KM22" s="706">
        <f>'План и исполнение'!KC22-KW22</f>
        <v>0</v>
      </c>
      <c r="KN22" s="787">
        <f>'План и исполнение'!KD22-KX22</f>
        <v>0</v>
      </c>
      <c r="KO22" s="706">
        <f>'План и исполнение'!KE22-KY22</f>
        <v>0</v>
      </c>
      <c r="KP22" s="788">
        <f t="shared" si="77"/>
        <v>0</v>
      </c>
      <c r="KQ22" s="793">
        <f>'План и исполнение'!KG22-LA22</f>
        <v>0</v>
      </c>
      <c r="KR22" s="830">
        <f>'План и исполнение'!KH22-LB22</f>
        <v>0</v>
      </c>
      <c r="KS22" s="793">
        <f>'План и исполнение'!KI22-LC22</f>
        <v>0</v>
      </c>
      <c r="KT22" s="804">
        <f>'План и исполнение'!KJ22-LD22</f>
        <v>0</v>
      </c>
      <c r="KU22" s="697">
        <f t="shared" si="78"/>
        <v>0</v>
      </c>
      <c r="KV22" s="793">
        <f>[1]Субсидия_факт!CN20</f>
        <v>0</v>
      </c>
      <c r="KW22" s="706">
        <f>[1]Субсидия_факт!CT20</f>
        <v>0</v>
      </c>
      <c r="KX22" s="529">
        <f>[1]Субсидия_факт!DR20</f>
        <v>0</v>
      </c>
      <c r="KY22" s="896">
        <f>[1]Субсидия_факт!DX20</f>
        <v>0</v>
      </c>
      <c r="KZ22" s="697">
        <f t="shared" si="79"/>
        <v>0</v>
      </c>
      <c r="LA22" s="650"/>
      <c r="LB22" s="708"/>
      <c r="LC22" s="531"/>
      <c r="LD22" s="1639"/>
      <c r="LE22" s="504">
        <f t="shared" si="168"/>
        <v>0</v>
      </c>
      <c r="LF22" s="529">
        <f>[1]Субсидия_факт!CD20</f>
        <v>0</v>
      </c>
      <c r="LG22" s="789">
        <f>[1]Субсидия_факт!CF20</f>
        <v>0</v>
      </c>
      <c r="LH22" s="529">
        <f>[1]Субсидия_факт!BV20</f>
        <v>0</v>
      </c>
      <c r="LI22" s="789">
        <f>[1]Субсидия_факт!BX20</f>
        <v>0</v>
      </c>
      <c r="LJ22" s="529">
        <f>[1]Субсидия_факт!CH20</f>
        <v>0</v>
      </c>
      <c r="LK22" s="471">
        <f t="shared" si="169"/>
        <v>0</v>
      </c>
      <c r="LL22" s="650"/>
      <c r="LM22" s="708"/>
      <c r="LN22" s="650"/>
      <c r="LO22" s="708"/>
      <c r="LP22" s="650"/>
      <c r="LQ22" s="504">
        <f t="shared" si="80"/>
        <v>0</v>
      </c>
      <c r="LR22" s="516">
        <f>[1]Субсидия_факт!HN20</f>
        <v>0</v>
      </c>
      <c r="LS22" s="529">
        <f>[1]Субсидия_факт!HL20</f>
        <v>0</v>
      </c>
      <c r="LT22" s="541">
        <f>[1]Субсидия_факт!HV20</f>
        <v>0</v>
      </c>
      <c r="LU22" s="721">
        <f>[1]Субсидия_факт!HX20</f>
        <v>0</v>
      </c>
      <c r="LV22" s="471">
        <f t="shared" si="81"/>
        <v>0</v>
      </c>
      <c r="LW22" s="344"/>
      <c r="LX22" s="650"/>
      <c r="LY22" s="479"/>
      <c r="LZ22" s="717"/>
      <c r="MA22" s="471">
        <f t="shared" si="82"/>
        <v>5050157.8899999997</v>
      </c>
      <c r="MB22" s="531">
        <f>[1]Субсидия_факт!HT20</f>
        <v>5050157.8899999997</v>
      </c>
      <c r="MC22" s="531">
        <f>[1]Субсидия_факт!HP20</f>
        <v>0</v>
      </c>
      <c r="MD22" s="789">
        <f>[1]Субсидия_факт!HR20</f>
        <v>0</v>
      </c>
      <c r="ME22" s="471">
        <f t="shared" si="83"/>
        <v>5050157.8899999997</v>
      </c>
      <c r="MF22" s="793">
        <f t="shared" si="170"/>
        <v>5050157.8899999997</v>
      </c>
      <c r="MG22" s="650"/>
      <c r="MH22" s="708"/>
      <c r="MI22" s="893">
        <f t="shared" si="84"/>
        <v>0</v>
      </c>
      <c r="MJ22" s="893">
        <f t="shared" si="85"/>
        <v>0</v>
      </c>
      <c r="MK22" s="695">
        <f t="shared" si="86"/>
        <v>5050157.8899999997</v>
      </c>
      <c r="ML22" s="1028">
        <f t="shared" si="87"/>
        <v>5050157.8899999997</v>
      </c>
      <c r="MM22" s="791">
        <f t="shared" si="216"/>
        <v>0</v>
      </c>
      <c r="MN22" s="529">
        <f>[1]Субсидия_факт!LH20</f>
        <v>0</v>
      </c>
      <c r="MO22" s="896">
        <f>[1]Субсидия_факт!LN20</f>
        <v>0</v>
      </c>
      <c r="MP22" s="531"/>
      <c r="MQ22" s="791">
        <f t="shared" si="171"/>
        <v>0</v>
      </c>
      <c r="MR22" s="809"/>
      <c r="MS22" s="708"/>
      <c r="MT22" s="531"/>
      <c r="MU22" s="791">
        <f t="shared" si="172"/>
        <v>19400000</v>
      </c>
      <c r="MV22" s="529">
        <f>[1]Субсидия_факт!LJ20</f>
        <v>870000</v>
      </c>
      <c r="MW22" s="896">
        <f>[1]Субсидия_факт!LP20</f>
        <v>16530000</v>
      </c>
      <c r="MX22" s="531">
        <f>[1]Субсидия_факт!LT20</f>
        <v>2000000</v>
      </c>
      <c r="MY22" s="791">
        <f t="shared" si="173"/>
        <v>3440879.41</v>
      </c>
      <c r="MZ22" s="650">
        <v>84544.18</v>
      </c>
      <c r="NA22" s="808">
        <v>1606339.43</v>
      </c>
      <c r="NB22" s="650">
        <v>1749995.8</v>
      </c>
      <c r="NC22" s="792">
        <f t="shared" si="175"/>
        <v>2000000</v>
      </c>
      <c r="ND22" s="680">
        <f>'План и исполнение'!MV22-NL22</f>
        <v>0</v>
      </c>
      <c r="NE22" s="713">
        <f>'План и исполнение'!MW22-NM22</f>
        <v>0</v>
      </c>
      <c r="NF22" s="647">
        <f>'План и исполнение'!MX22-NN22</f>
        <v>2000000</v>
      </c>
      <c r="NG22" s="792">
        <f t="shared" si="176"/>
        <v>1749995.8</v>
      </c>
      <c r="NH22" s="787">
        <f>'План и исполнение'!MZ22-NP22</f>
        <v>0</v>
      </c>
      <c r="NI22" s="706">
        <f>'План и исполнение'!NA22-NQ22</f>
        <v>0</v>
      </c>
      <c r="NJ22" s="793">
        <f>'План и исполнение'!NB22-NR22</f>
        <v>1749995.8</v>
      </c>
      <c r="NK22" s="792">
        <f t="shared" si="177"/>
        <v>17400000</v>
      </c>
      <c r="NL22" s="529">
        <f>[1]Субсидия_факт!LL20</f>
        <v>870000</v>
      </c>
      <c r="NM22" s="896">
        <f>[1]Субсидия_факт!LR20</f>
        <v>16530000</v>
      </c>
      <c r="NN22" s="529">
        <f>[1]Субсидия_факт!LV20</f>
        <v>0</v>
      </c>
      <c r="NO22" s="792">
        <f t="shared" si="178"/>
        <v>1690883.6099999999</v>
      </c>
      <c r="NP22" s="787">
        <f t="shared" si="179"/>
        <v>84544.18</v>
      </c>
      <c r="NQ22" s="706">
        <f t="shared" si="180"/>
        <v>1606339.43</v>
      </c>
      <c r="NR22" s="529">
        <f t="shared" si="215"/>
        <v>0</v>
      </c>
      <c r="NS22" s="535">
        <f t="shared" si="181"/>
        <v>0</v>
      </c>
      <c r="NT22" s="1285">
        <f>[1]Субсидия_факт!NF20</f>
        <v>0</v>
      </c>
      <c r="NU22" s="713">
        <f>[1]Субсидия_факт!NH20</f>
        <v>0</v>
      </c>
      <c r="NV22" s="535">
        <f t="shared" si="182"/>
        <v>0</v>
      </c>
      <c r="NW22" s="344"/>
      <c r="NX22" s="739"/>
      <c r="NY22" s="535">
        <f t="shared" si="183"/>
        <v>5646422.6000000006</v>
      </c>
      <c r="NZ22" s="1194">
        <f>[1]Субсидия_факт!LX20</f>
        <v>0</v>
      </c>
      <c r="OA22" s="1295">
        <f>[1]Субсидия_факт!MB20</f>
        <v>0</v>
      </c>
      <c r="OB22" s="1194">
        <f>[1]Субсидия_факт!MF20</f>
        <v>1580998.32</v>
      </c>
      <c r="OC22" s="713">
        <f>[1]Субсидия_факт!MJ20</f>
        <v>4065424.2800000003</v>
      </c>
      <c r="OD22" s="1285">
        <f>[1]Субсидия_факт!NJ20</f>
        <v>0</v>
      </c>
      <c r="OE22" s="713">
        <f>[1]Субсидия_факт!NN20</f>
        <v>0</v>
      </c>
      <c r="OF22" s="535">
        <f t="shared" si="184"/>
        <v>3535965.58</v>
      </c>
      <c r="OG22" s="493"/>
      <c r="OH22" s="746"/>
      <c r="OI22" s="344">
        <v>990070.36</v>
      </c>
      <c r="OJ22" s="739">
        <v>2545895.2200000002</v>
      </c>
      <c r="OK22" s="493"/>
      <c r="OL22" s="746"/>
      <c r="OM22" s="610">
        <f t="shared" si="185"/>
        <v>5646422.6000000006</v>
      </c>
      <c r="ON22" s="1194">
        <f t="shared" si="88"/>
        <v>0</v>
      </c>
      <c r="OO22" s="713">
        <f t="shared" si="89"/>
        <v>0</v>
      </c>
      <c r="OP22" s="493">
        <f t="shared" si="90"/>
        <v>1580998.32</v>
      </c>
      <c r="OQ22" s="713">
        <f t="shared" si="91"/>
        <v>4065424.2800000003</v>
      </c>
      <c r="OR22" s="1285">
        <f t="shared" si="92"/>
        <v>0</v>
      </c>
      <c r="OS22" s="713">
        <f t="shared" si="93"/>
        <v>0</v>
      </c>
      <c r="OT22" s="610">
        <f t="shared" si="186"/>
        <v>3535965.58</v>
      </c>
      <c r="OU22" s="1194">
        <f t="shared" si="94"/>
        <v>0</v>
      </c>
      <c r="OV22" s="713">
        <f t="shared" si="95"/>
        <v>0</v>
      </c>
      <c r="OW22" s="493">
        <f t="shared" si="96"/>
        <v>990070.36</v>
      </c>
      <c r="OX22" s="713">
        <f t="shared" si="97"/>
        <v>2545895.2200000002</v>
      </c>
      <c r="OY22" s="1285">
        <f t="shared" si="98"/>
        <v>0</v>
      </c>
      <c r="OZ22" s="713">
        <f t="shared" si="99"/>
        <v>0</v>
      </c>
      <c r="PA22" s="610">
        <f t="shared" si="187"/>
        <v>0</v>
      </c>
      <c r="PB22" s="1194">
        <f>[1]Субсидия_факт!LZ20</f>
        <v>0</v>
      </c>
      <c r="PC22" s="1295">
        <f>[1]Субсидия_факт!MD20</f>
        <v>0</v>
      </c>
      <c r="PD22" s="1194">
        <f>[1]Субсидия_факт!MH20</f>
        <v>0</v>
      </c>
      <c r="PE22" s="713">
        <f>[1]Субсидия_факт!ML20</f>
        <v>0</v>
      </c>
      <c r="PF22" s="991">
        <f>[1]Субсидия_факт!NL20</f>
        <v>0</v>
      </c>
      <c r="PG22" s="801">
        <f>[1]Субсидия_факт!NP20</f>
        <v>0</v>
      </c>
      <c r="PH22" s="610">
        <f t="shared" si="188"/>
        <v>0</v>
      </c>
      <c r="PI22" s="991"/>
      <c r="PJ22" s="746"/>
      <c r="PK22" s="493"/>
      <c r="PL22" s="746"/>
      <c r="PM22" s="493"/>
      <c r="PN22" s="746"/>
      <c r="PO22" s="504">
        <f t="shared" si="100"/>
        <v>0</v>
      </c>
      <c r="PP22" s="529">
        <f>[1]Субсидия_факт!AF20</f>
        <v>0</v>
      </c>
      <c r="PQ22" s="896">
        <f>[1]Субсидия_факт!AH20</f>
        <v>0</v>
      </c>
      <c r="PR22" s="471">
        <f t="shared" si="101"/>
        <v>0</v>
      </c>
      <c r="PS22" s="809"/>
      <c r="PT22" s="708"/>
      <c r="PU22" s="535">
        <f t="shared" si="102"/>
        <v>0</v>
      </c>
      <c r="PV22" s="673">
        <f>[1]Субсидия_факт!MN20</f>
        <v>0</v>
      </c>
      <c r="PW22" s="814">
        <f>[1]Субсидия_факт!MP20</f>
        <v>0</v>
      </c>
      <c r="PX22" s="535">
        <f t="shared" si="103"/>
        <v>0</v>
      </c>
      <c r="PY22" s="1377"/>
      <c r="PZ22" s="717"/>
      <c r="QA22" s="535">
        <f t="shared" si="104"/>
        <v>0</v>
      </c>
      <c r="QB22" s="1194">
        <f>[1]Субсидия_факт!MR20</f>
        <v>0</v>
      </c>
      <c r="QC22" s="713">
        <f>[1]Субсидия_факт!MV20</f>
        <v>0</v>
      </c>
      <c r="QD22" s="535">
        <f t="shared" si="105"/>
        <v>0</v>
      </c>
      <c r="QE22" s="479"/>
      <c r="QF22" s="717"/>
      <c r="QG22" s="610">
        <f t="shared" si="106"/>
        <v>0</v>
      </c>
      <c r="QH22" s="1194">
        <f t="shared" si="107"/>
        <v>0</v>
      </c>
      <c r="QI22" s="713">
        <f t="shared" si="108"/>
        <v>0</v>
      </c>
      <c r="QJ22" s="610">
        <f t="shared" si="109"/>
        <v>0</v>
      </c>
      <c r="QK22" s="1194">
        <f t="shared" si="110"/>
        <v>0</v>
      </c>
      <c r="QL22" s="713">
        <f t="shared" si="111"/>
        <v>0</v>
      </c>
      <c r="QM22" s="610">
        <f t="shared" si="112"/>
        <v>0</v>
      </c>
      <c r="QN22" s="1210">
        <f>[1]Субсидия_факт!MT20</f>
        <v>0</v>
      </c>
      <c r="QO22" s="713">
        <f>[1]Субсидия_факт!MX20</f>
        <v>0</v>
      </c>
      <c r="QP22" s="610">
        <f t="shared" si="113"/>
        <v>0</v>
      </c>
      <c r="QQ22" s="479"/>
      <c r="QR22" s="717"/>
      <c r="QS22" s="535">
        <f>'Прочая  субсидия_МР  и  ГО'!B18</f>
        <v>4199157.4399999995</v>
      </c>
      <c r="QT22" s="535">
        <f>'Прочая  субсидия_МР  и  ГО'!C18</f>
        <v>2354821.4899999998</v>
      </c>
      <c r="QU22" s="540">
        <f>'Прочая  субсидия_БП'!B18</f>
        <v>22199942.210000001</v>
      </c>
      <c r="QV22" s="542">
        <f>'Прочая  субсидия_БП'!C18</f>
        <v>5278814.9000000004</v>
      </c>
      <c r="QW22" s="605">
        <f>'Прочая  субсидия_БП'!D18</f>
        <v>8850318.75</v>
      </c>
      <c r="QX22" s="604">
        <f>'Прочая  субсидия_БП'!E18</f>
        <v>2860763.25</v>
      </c>
      <c r="QY22" s="611">
        <f>'Прочая  субсидия_БП'!F18</f>
        <v>13349623.460000001</v>
      </c>
      <c r="QZ22" s="605">
        <f>'Прочая  субсидия_БП'!G18</f>
        <v>2418051.65</v>
      </c>
      <c r="RA22" s="542">
        <f t="shared" si="189"/>
        <v>416819749</v>
      </c>
      <c r="RB22" s="469">
        <f>'План и исполнение'!RZ22+'План и исполнение'!RG22+'План и исполнение'!RI22+'План и исполнение'!RK22</f>
        <v>411400782</v>
      </c>
      <c r="RC22" s="343">
        <f>'План и исполнение'!SB22+'План и исполнение'!RM22+'План и исполнение'!RS22+'План и исполнение'!RO22+'План и исполнение'!RQ22+RU22+RW22+SA22</f>
        <v>5418967</v>
      </c>
      <c r="RD22" s="534">
        <f t="shared" si="190"/>
        <v>233663495.78</v>
      </c>
      <c r="RE22" s="541">
        <f>'План и исполнение'!SD22+'План и исполнение'!RH22+'План и исполнение'!RJ22+'План и исполнение'!RL22</f>
        <v>230464735</v>
      </c>
      <c r="RF22" s="343">
        <f>'План и исполнение'!SF22+'План и исполнение'!RN22+'План и исполнение'!RT22+'План и исполнение'!RP22+'План и исполнение'!RR22+RV22+RX22+SE22</f>
        <v>3198760.7800000003</v>
      </c>
      <c r="RG22" s="599">
        <f>'Субвенция  на  полномочия'!B18</f>
        <v>391690482</v>
      </c>
      <c r="RH22" s="471">
        <f>'Субвенция  на  полномочия'!C18</f>
        <v>220042735</v>
      </c>
      <c r="RI22" s="768">
        <f>[1]Субвенция_факт!P19*1000</f>
        <v>14104100</v>
      </c>
      <c r="RJ22" s="771">
        <v>7200000</v>
      </c>
      <c r="RK22" s="768">
        <f>[1]Субвенция_факт!K19*1000</f>
        <v>4558300</v>
      </c>
      <c r="RL22" s="771">
        <v>2600000</v>
      </c>
      <c r="RM22" s="768">
        <f>[1]Субвенция_факт!AF19*1000</f>
        <v>1800500</v>
      </c>
      <c r="RN22" s="771">
        <v>729159.75</v>
      </c>
      <c r="RO22" s="768">
        <f>[1]Субвенция_факт!AG19*1000</f>
        <v>4000</v>
      </c>
      <c r="RP22" s="771">
        <v>1984</v>
      </c>
      <c r="RQ22" s="768">
        <f>[1]Субвенция_факт!E19*1000</f>
        <v>0</v>
      </c>
      <c r="RR22" s="771"/>
      <c r="RS22" s="768">
        <f>[1]Субвенция_факт!F19*1000</f>
        <v>714467</v>
      </c>
      <c r="RT22" s="877">
        <v>674244</v>
      </c>
      <c r="RU22" s="168">
        <f>[1]Субвенция_факт!G19*1000</f>
        <v>0</v>
      </c>
      <c r="RV22" s="1241"/>
      <c r="RW22" s="168">
        <f>[1]Субвенция_факт!H19*1000</f>
        <v>0</v>
      </c>
      <c r="RX22" s="878"/>
      <c r="RY22" s="504">
        <f t="shared" si="191"/>
        <v>3947900</v>
      </c>
      <c r="RZ22" s="887">
        <f>[1]Субвенция_факт!AE19*1000</f>
        <v>1047900.0000000001</v>
      </c>
      <c r="SA22" s="882">
        <f>[1]Субвенция_факт!AD19*1000</f>
        <v>0</v>
      </c>
      <c r="SB22" s="1158">
        <f>[1]Субвенция_факт!AC19*1000</f>
        <v>2900000</v>
      </c>
      <c r="SC22" s="535">
        <f t="shared" si="116"/>
        <v>2415373.0300000003</v>
      </c>
      <c r="SD22" s="974">
        <v>622000</v>
      </c>
      <c r="SE22" s="1645"/>
      <c r="SF22" s="1652">
        <v>1793373.03</v>
      </c>
      <c r="SG22" s="279">
        <f>'План и исполнение'!VI22+'План и исполнение'!VA22+'План и исполнение'!TA22+'План и исполнение'!TE22+UO22+UU22+SO22+SS22+TM22+TQ22+UE22+SI22+TY22</f>
        <v>0</v>
      </c>
      <c r="SH22" s="168">
        <f>'План и исполнение'!VK22+'План и исполнение'!VE22+'План и исполнение'!TC22+'План и исполнение'!TG22+UR22+UX22+SQ22+SU22+TO22+TS22+UH22+SL22+UB22</f>
        <v>0</v>
      </c>
      <c r="SI22" s="540">
        <f t="shared" si="117"/>
        <v>0</v>
      </c>
      <c r="SJ22" s="887">
        <f>'[1]Иные межбюджетные трансферты'!E20</f>
        <v>0</v>
      </c>
      <c r="SK22" s="945">
        <f>'[1]Иные межбюджетные трансферты'!G20</f>
        <v>0</v>
      </c>
      <c r="SL22" s="535">
        <f t="shared" si="118"/>
        <v>0</v>
      </c>
      <c r="SM22" s="1323"/>
      <c r="SN22" s="1464"/>
      <c r="SO22" s="1335">
        <f t="shared" si="192"/>
        <v>0</v>
      </c>
      <c r="SP22" s="1115">
        <f>'[1]Иные межбюджетные трансферты'!W20</f>
        <v>0</v>
      </c>
      <c r="SQ22" s="1333">
        <f t="shared" si="193"/>
        <v>0</v>
      </c>
      <c r="SR22" s="1334"/>
      <c r="SS22" s="1336">
        <f t="shared" si="194"/>
        <v>0</v>
      </c>
      <c r="ST22" s="1115">
        <f>'[1]Иные межбюджетные трансферты'!Y20</f>
        <v>0</v>
      </c>
      <c r="SU22" s="1344">
        <f t="shared" si="195"/>
        <v>0</v>
      </c>
      <c r="SV22" s="1334"/>
      <c r="SW22" s="1336">
        <f t="shared" si="196"/>
        <v>0</v>
      </c>
      <c r="SX22" s="1344">
        <f t="shared" si="197"/>
        <v>0</v>
      </c>
      <c r="SY22" s="1355">
        <f t="shared" si="198"/>
        <v>0</v>
      </c>
      <c r="SZ22" s="1344">
        <f t="shared" si="199"/>
        <v>0</v>
      </c>
      <c r="TA22" s="1350">
        <f t="shared" si="119"/>
        <v>0</v>
      </c>
      <c r="TB22" s="1115">
        <f>'[1]Иные межбюджетные трансферты'!AC20</f>
        <v>0</v>
      </c>
      <c r="TC22" s="965">
        <f t="shared" si="120"/>
        <v>0</v>
      </c>
      <c r="TD22" s="945"/>
      <c r="TE22" s="971">
        <f t="shared" si="121"/>
        <v>0</v>
      </c>
      <c r="TF22" s="1115">
        <f>'[1]Иные межбюджетные трансферты'!AE20</f>
        <v>0</v>
      </c>
      <c r="TG22" s="965">
        <f t="shared" si="122"/>
        <v>0</v>
      </c>
      <c r="TH22" s="1214"/>
      <c r="TI22" s="968">
        <f t="shared" si="123"/>
        <v>0</v>
      </c>
      <c r="TJ22" s="962">
        <f t="shared" si="124"/>
        <v>0</v>
      </c>
      <c r="TK22" s="1219">
        <f t="shared" si="200"/>
        <v>0</v>
      </c>
      <c r="TL22" s="962">
        <f t="shared" si="201"/>
        <v>0</v>
      </c>
      <c r="TM22" s="971">
        <f t="shared" si="125"/>
        <v>0</v>
      </c>
      <c r="TN22" s="1115">
        <f>'[1]Иные межбюджетные трансферты'!AI20</f>
        <v>0</v>
      </c>
      <c r="TO22" s="965">
        <f t="shared" si="126"/>
        <v>0</v>
      </c>
      <c r="TP22" s="945"/>
      <c r="TQ22" s="971">
        <f t="shared" si="127"/>
        <v>0</v>
      </c>
      <c r="TR22" s="1115">
        <f>'[1]Иные межбюджетные трансферты'!AK20</f>
        <v>0</v>
      </c>
      <c r="TS22" s="965">
        <f t="shared" si="128"/>
        <v>0</v>
      </c>
      <c r="TT22" s="1214"/>
      <c r="TU22" s="968">
        <f t="shared" si="129"/>
        <v>0</v>
      </c>
      <c r="TV22" s="962">
        <f t="shared" si="130"/>
        <v>0</v>
      </c>
      <c r="TW22" s="1219">
        <f t="shared" si="202"/>
        <v>0</v>
      </c>
      <c r="TX22" s="968">
        <f t="shared" si="203"/>
        <v>0</v>
      </c>
      <c r="TY22" s="971">
        <f t="shared" si="204"/>
        <v>0</v>
      </c>
      <c r="TZ22" s="1210"/>
      <c r="UA22" s="713"/>
      <c r="UB22" s="971">
        <f t="shared" si="205"/>
        <v>0</v>
      </c>
      <c r="UC22" s="810"/>
      <c r="UD22" s="717"/>
      <c r="UE22" s="971">
        <f t="shared" si="206"/>
        <v>0</v>
      </c>
      <c r="UF22" s="1210">
        <f>'[1]Иные межбюджетные трансферты'!AS20</f>
        <v>0</v>
      </c>
      <c r="UG22" s="713">
        <f>'[1]Иные межбюджетные трансферты'!AW20</f>
        <v>0</v>
      </c>
      <c r="UH22" s="965">
        <f t="shared" si="207"/>
        <v>0</v>
      </c>
      <c r="UI22" s="1484"/>
      <c r="UJ22" s="804"/>
      <c r="UK22" s="865">
        <f t="shared" si="208"/>
        <v>0</v>
      </c>
      <c r="UL22" s="865">
        <f t="shared" si="209"/>
        <v>0</v>
      </c>
      <c r="UM22" s="865">
        <f t="shared" si="210"/>
        <v>0</v>
      </c>
      <c r="UN22" s="1493">
        <f t="shared" si="211"/>
        <v>0</v>
      </c>
      <c r="UO22" s="1267">
        <f t="shared" si="131"/>
        <v>0</v>
      </c>
      <c r="UP22" s="1029">
        <f>'[1]Иные межбюджетные трансферты'!S20</f>
        <v>0</v>
      </c>
      <c r="UQ22" s="1266">
        <f>'[1]Иные межбюджетные трансферты'!U20</f>
        <v>0</v>
      </c>
      <c r="UR22" s="769">
        <f t="shared" si="132"/>
        <v>0</v>
      </c>
      <c r="US22" s="1029"/>
      <c r="UT22" s="1266"/>
      <c r="UU22" s="1267">
        <f t="shared" si="133"/>
        <v>0</v>
      </c>
      <c r="UV22" s="1029">
        <f>'[1]Иные межбюджетные трансферты'!O20</f>
        <v>0</v>
      </c>
      <c r="UW22" s="1266">
        <f>'[1]Иные межбюджетные трансферты'!Q20</f>
        <v>0</v>
      </c>
      <c r="UX22" s="769">
        <f t="shared" si="134"/>
        <v>0</v>
      </c>
      <c r="UY22" s="1029"/>
      <c r="UZ22" s="1266"/>
      <c r="VA22" s="888">
        <f t="shared" si="212"/>
        <v>0</v>
      </c>
      <c r="VB22" s="887">
        <f>'[1]Иные межбюджетные трансферты'!I20</f>
        <v>0</v>
      </c>
      <c r="VC22" s="945">
        <f>'[1]Иные межбюджетные трансферты'!K20</f>
        <v>0</v>
      </c>
      <c r="VD22" s="1158">
        <f>'[1]Иные межбюджетные трансферты'!M20</f>
        <v>0</v>
      </c>
      <c r="VE22" s="888">
        <f t="shared" si="213"/>
        <v>0</v>
      </c>
      <c r="VF22" s="980"/>
      <c r="VG22" s="978"/>
      <c r="VH22" s="1323"/>
      <c r="VI22" s="528">
        <f t="shared" si="135"/>
        <v>0</v>
      </c>
      <c r="VJ22" s="882"/>
      <c r="VK22" s="888">
        <f t="shared" si="136"/>
        <v>0</v>
      </c>
      <c r="VL22" s="531"/>
      <c r="VM22" s="893">
        <f t="shared" si="137"/>
        <v>0</v>
      </c>
      <c r="VN22" s="529"/>
      <c r="VO22" s="893">
        <f t="shared" si="138"/>
        <v>0</v>
      </c>
      <c r="VP22" s="529"/>
      <c r="VQ22" s="893">
        <f t="shared" si="139"/>
        <v>0</v>
      </c>
      <c r="VR22" s="882"/>
      <c r="VS22" s="1028">
        <f t="shared" si="140"/>
        <v>0</v>
      </c>
      <c r="VT22" s="531"/>
      <c r="VU22" s="535">
        <f>VW22+'План и исполнение'!WE22+WA22+'План и исполнение'!WI22+WC22+'План и исполнение'!WK22</f>
        <v>-95950000</v>
      </c>
      <c r="VV22" s="535">
        <f>VX22+'План и исполнение'!WF22+WB22+'План и исполнение'!WJ22+WD22+'План и исполнение'!WL22</f>
        <v>-21150000</v>
      </c>
      <c r="VW22" s="549"/>
      <c r="VX22" s="549"/>
      <c r="VY22" s="549">
        <v>12000000</v>
      </c>
      <c r="VZ22" s="549">
        <v>6000000</v>
      </c>
      <c r="WA22" s="546">
        <f t="shared" si="141"/>
        <v>0</v>
      </c>
      <c r="WB22" s="544">
        <f t="shared" si="142"/>
        <v>0</v>
      </c>
      <c r="WC22" s="550">
        <v>12000000</v>
      </c>
      <c r="WD22" s="539">
        <v>6000000</v>
      </c>
      <c r="WE22" s="549">
        <v>-66750000</v>
      </c>
      <c r="WF22" s="549">
        <v>-21750000</v>
      </c>
      <c r="WG22" s="549">
        <f>-29200000-12000000</f>
        <v>-41200000</v>
      </c>
      <c r="WH22" s="549">
        <v>-5400000</v>
      </c>
      <c r="WI22" s="546">
        <f t="shared" si="143"/>
        <v>0</v>
      </c>
      <c r="WJ22" s="544">
        <f t="shared" si="144"/>
        <v>0</v>
      </c>
      <c r="WK22" s="539">
        <f>-29200000-12000000</f>
        <v>-41200000</v>
      </c>
      <c r="WL22" s="539">
        <v>-5400000</v>
      </c>
      <c r="WM22" s="1547">
        <f>'План и исполнение'!WE22+'План и исполнение'!WG22</f>
        <v>-107950000</v>
      </c>
      <c r="WN22" s="1547">
        <f>'План и исполнение'!WF22+'План и исполнение'!WH22</f>
        <v>-27150000</v>
      </c>
      <c r="WO22" s="1154"/>
    </row>
    <row r="23" spans="1:613" s="340" customFormat="1" ht="25.5" customHeight="1" x14ac:dyDescent="0.3">
      <c r="A23" s="349" t="s">
        <v>90</v>
      </c>
      <c r="B23" s="542">
        <f>D23+AI23+'План и исполнение'!RA23+'План и исполнение'!SG23</f>
        <v>414421269.44999999</v>
      </c>
      <c r="C23" s="535">
        <f>E23+'План и исполнение'!RD23+AJ23+'План и исполнение'!SH23</f>
        <v>201093722.84999999</v>
      </c>
      <c r="D23" s="540">
        <f t="shared" si="0"/>
        <v>96506500</v>
      </c>
      <c r="E23" s="542">
        <f t="shared" si="1"/>
        <v>50360135</v>
      </c>
      <c r="F23" s="603">
        <f>'[1]Дотация  из  ОБ_факт'!M19</f>
        <v>54749800</v>
      </c>
      <c r="G23" s="1551">
        <v>33612301</v>
      </c>
      <c r="H23" s="1556">
        <f>'[1]Дотация  из  ОБ_факт'!G19</f>
        <v>9651000</v>
      </c>
      <c r="I23" s="1551">
        <v>5160502</v>
      </c>
      <c r="J23" s="604">
        <f t="shared" si="2"/>
        <v>9651000</v>
      </c>
      <c r="K23" s="611">
        <f t="shared" si="3"/>
        <v>5160502</v>
      </c>
      <c r="L23" s="891">
        <f>'[1]Дотация  из  ОБ_факт'!K19</f>
        <v>0</v>
      </c>
      <c r="M23" s="782"/>
      <c r="N23" s="603">
        <f>'[1]Дотация  из  ОБ_факт'!Q19</f>
        <v>17612000</v>
      </c>
      <c r="O23" s="1054">
        <v>3040500</v>
      </c>
      <c r="P23" s="603">
        <f>'[1]Дотация  из  ОБ_факт'!S19</f>
        <v>13893700</v>
      </c>
      <c r="Q23" s="1048">
        <v>7946832</v>
      </c>
      <c r="R23" s="611">
        <f t="shared" si="4"/>
        <v>13893700</v>
      </c>
      <c r="S23" s="605">
        <f t="shared" si="5"/>
        <v>7946832</v>
      </c>
      <c r="T23" s="891">
        <f>'[1]Дотация  из  ОБ_факт'!W19</f>
        <v>0</v>
      </c>
      <c r="U23" s="643"/>
      <c r="V23" s="603">
        <f>'[1]Дотация  из  ОБ_факт'!AA19+'[1]Дотация  из  ОБ_факт'!AC19+'[1]Дотация  из  ОБ_факт'!AG19</f>
        <v>600000</v>
      </c>
      <c r="W23" s="465">
        <f t="shared" si="6"/>
        <v>600000</v>
      </c>
      <c r="X23" s="607"/>
      <c r="Y23" s="606">
        <v>600000</v>
      </c>
      <c r="Z23" s="607"/>
      <c r="AA23" s="603">
        <f>'[1]Дотация  из  ОБ_факт'!Y19+'[1]Дотация  из  ОБ_факт'!AE19</f>
        <v>0</v>
      </c>
      <c r="AB23" s="170">
        <f t="shared" si="7"/>
        <v>0</v>
      </c>
      <c r="AC23" s="606"/>
      <c r="AD23" s="607"/>
      <c r="AE23" s="604">
        <f t="shared" si="8"/>
        <v>0</v>
      </c>
      <c r="AF23" s="611">
        <f t="shared" si="9"/>
        <v>0</v>
      </c>
      <c r="AG23" s="604">
        <f>'[1]Дотация  из  ОБ_факт'!AE19</f>
        <v>0</v>
      </c>
      <c r="AH23" s="772"/>
      <c r="AI23" s="599">
        <f>'План и исполнение'!LQ23+'План и исполнение'!QS23+'План и исполнение'!QU23+CQ23+CS23+CY23+DA23+BS23+CA23+'План и исполнение'!JQ23+'План и исполнение'!KA23+'План и исполнение'!EC23+'План и исполнение'!LE23+DM23+'План и исполнение'!IM23+'План и исполнение'!IS23+'План и исполнение'!MM23+'План и исполнение'!MU23+IG23+'План и исполнение'!MA23+FK23+EY23+PO23+ES23+AK23+AU23+FE23+JK23+GG23+GQ23+DG23+PU23+FQ23+EI23+QA23+NY23+GA23+CM23+HU23+IA23+NS23</f>
        <v>56957214.450000003</v>
      </c>
      <c r="AJ23" s="504">
        <f>'План и исполнение'!LV23+'План и исполнение'!QT23+'План и исполнение'!QV23+CR23+CT23+CZ23+DB23+BW23+CE23+'План и исполнение'!JV23+'План и исполнение'!KF23+'План и исполнение'!EF23+'План и исполнение'!LK23+DU23+'План и исполнение'!IP23+'План и исполнение'!IV23+'План и исполнение'!MQ23+'План и исполнение'!MY23+IJ23+'План и исполнение'!ME23+FH23+FN23+FB23+PR23+EV23+AP23+AY23+JN23+GL23+GV23+DJ23+PX23+FT23+EN23+QD23+OF23+GD23+CO23+HX23+ID23+NV23</f>
        <v>8845978.25</v>
      </c>
      <c r="AK23" s="504">
        <f t="shared" si="10"/>
        <v>0</v>
      </c>
      <c r="AL23" s="343">
        <f>[1]Субсидия_факт!DB21</f>
        <v>0</v>
      </c>
      <c r="AM23" s="516">
        <f>[1]Субсидия_факт!FF21</f>
        <v>0</v>
      </c>
      <c r="AN23" s="514">
        <f>[1]Субсидия_факт!FR21</f>
        <v>0</v>
      </c>
      <c r="AO23" s="516">
        <f>[1]Субсидия_факт!MZ21</f>
        <v>0</v>
      </c>
      <c r="AP23" s="504">
        <f t="shared" si="11"/>
        <v>0</v>
      </c>
      <c r="AQ23" s="479"/>
      <c r="AR23" s="479"/>
      <c r="AS23" s="479"/>
      <c r="AT23" s="479"/>
      <c r="AU23" s="504">
        <f t="shared" si="12"/>
        <v>0</v>
      </c>
      <c r="AV23" s="469">
        <f>[1]Субсидия_факт!DD21</f>
        <v>0</v>
      </c>
      <c r="AW23" s="343">
        <f>[1]Субсидия_факт!FJ21</f>
        <v>0</v>
      </c>
      <c r="AX23" s="514">
        <f>[1]Субсидия_факт!NB21</f>
        <v>0</v>
      </c>
      <c r="AY23" s="504">
        <f t="shared" si="13"/>
        <v>0</v>
      </c>
      <c r="AZ23" s="547"/>
      <c r="BA23" s="547"/>
      <c r="BB23" s="548"/>
      <c r="BC23" s="697">
        <f t="shared" si="14"/>
        <v>0</v>
      </c>
      <c r="BD23" s="680">
        <f t="shared" si="15"/>
        <v>0</v>
      </c>
      <c r="BE23" s="469">
        <f t="shared" si="16"/>
        <v>0</v>
      </c>
      <c r="BF23" s="343">
        <f t="shared" si="17"/>
        <v>0</v>
      </c>
      <c r="BG23" s="697">
        <f t="shared" si="18"/>
        <v>0</v>
      </c>
      <c r="BH23" s="647">
        <f t="shared" si="19"/>
        <v>0</v>
      </c>
      <c r="BI23" s="514">
        <f t="shared" si="20"/>
        <v>0</v>
      </c>
      <c r="BJ23" s="343">
        <f t="shared" si="21"/>
        <v>0</v>
      </c>
      <c r="BK23" s="697">
        <f t="shared" si="22"/>
        <v>0</v>
      </c>
      <c r="BL23" s="469">
        <f>[1]Субсидия_факт!DF21</f>
        <v>0</v>
      </c>
      <c r="BM23" s="343">
        <f>[1]Субсидия_факт!FL21</f>
        <v>0</v>
      </c>
      <c r="BN23" s="469">
        <f>[1]Субсидия_факт!ND21</f>
        <v>0</v>
      </c>
      <c r="BO23" s="697">
        <f t="shared" si="23"/>
        <v>0</v>
      </c>
      <c r="BP23" s="548"/>
      <c r="BQ23" s="547"/>
      <c r="BR23" s="548"/>
      <c r="BS23" s="535">
        <f t="shared" si="145"/>
        <v>26787532.199999999</v>
      </c>
      <c r="BT23" s="449">
        <f>[1]Субсидия_факт!IL21</f>
        <v>14909622.199999999</v>
      </c>
      <c r="BU23" s="343">
        <f>[1]Субсидия_факт!IR21</f>
        <v>11877910</v>
      </c>
      <c r="BV23" s="529">
        <f>[1]Субсидия_факт!JD21</f>
        <v>0</v>
      </c>
      <c r="BW23" s="535">
        <f t="shared" si="146"/>
        <v>0</v>
      </c>
      <c r="BX23" s="547"/>
      <c r="BY23" s="547"/>
      <c r="BZ23" s="650"/>
      <c r="CA23" s="535">
        <f t="shared" si="147"/>
        <v>0</v>
      </c>
      <c r="CB23" s="469">
        <f>[1]Субсидия_факт!IN21</f>
        <v>0</v>
      </c>
      <c r="CC23" s="343">
        <f>[1]Субсидия_факт!IT21</f>
        <v>0</v>
      </c>
      <c r="CD23" s="529">
        <f>[1]Субсидия_факт!JF21</f>
        <v>0</v>
      </c>
      <c r="CE23" s="535">
        <f t="shared" si="148"/>
        <v>0</v>
      </c>
      <c r="CF23" s="547"/>
      <c r="CG23" s="548"/>
      <c r="CH23" s="760"/>
      <c r="CI23" s="546">
        <f t="shared" si="24"/>
        <v>0</v>
      </c>
      <c r="CJ23" s="544">
        <f t="shared" si="25"/>
        <v>0</v>
      </c>
      <c r="CK23" s="543">
        <f t="shared" si="149"/>
        <v>0</v>
      </c>
      <c r="CL23" s="546">
        <f t="shared" si="150"/>
        <v>0</v>
      </c>
      <c r="CM23" s="965">
        <f t="shared" si="151"/>
        <v>0</v>
      </c>
      <c r="CN23" s="721">
        <f>[1]Субсидия_факт!FT21</f>
        <v>0</v>
      </c>
      <c r="CO23" s="965">
        <f t="shared" si="151"/>
        <v>0</v>
      </c>
      <c r="CP23" s="721"/>
      <c r="CQ23" s="534">
        <f>[1]Субсидия_факт!FV21</f>
        <v>0</v>
      </c>
      <c r="CR23" s="644"/>
      <c r="CS23" s="535">
        <f>[1]Субсидия_факт!FX21</f>
        <v>0</v>
      </c>
      <c r="CT23" s="644"/>
      <c r="CU23" s="544">
        <f t="shared" si="26"/>
        <v>0</v>
      </c>
      <c r="CV23" s="543">
        <f t="shared" si="27"/>
        <v>0</v>
      </c>
      <c r="CW23" s="610">
        <f>[1]Субсидия_факт!FZ21</f>
        <v>0</v>
      </c>
      <c r="CX23" s="643"/>
      <c r="CY23" s="542">
        <f>[1]Субсидия_факт!GB21</f>
        <v>0</v>
      </c>
      <c r="CZ23" s="341"/>
      <c r="DA23" s="534">
        <f>[1]Субсидия_факт!GD21</f>
        <v>0</v>
      </c>
      <c r="DB23" s="644"/>
      <c r="DC23" s="544">
        <f t="shared" si="28"/>
        <v>0</v>
      </c>
      <c r="DD23" s="544">
        <f t="shared" si="29"/>
        <v>0</v>
      </c>
      <c r="DE23" s="691">
        <f>[1]Субсидия_факт!GF21</f>
        <v>0</v>
      </c>
      <c r="DF23" s="342"/>
      <c r="DG23" s="504">
        <f t="shared" si="30"/>
        <v>0</v>
      </c>
      <c r="DH23" s="529">
        <f>[1]Субсидия_факт!EV21</f>
        <v>0</v>
      </c>
      <c r="DI23" s="896">
        <f>[1]Субсидия_факт!EX21</f>
        <v>0</v>
      </c>
      <c r="DJ23" s="471">
        <f t="shared" si="31"/>
        <v>0</v>
      </c>
      <c r="DK23" s="809"/>
      <c r="DL23" s="1083"/>
      <c r="DM23" s="542">
        <f t="shared" si="32"/>
        <v>2304462.44</v>
      </c>
      <c r="DN23" s="541">
        <f>[1]Субсидия_факт!R21</f>
        <v>2162444.44</v>
      </c>
      <c r="DO23" s="1210">
        <f>[1]Субсидия_факт!T21</f>
        <v>0</v>
      </c>
      <c r="DP23" s="713">
        <f>[1]Субсидия_факт!V21</f>
        <v>0</v>
      </c>
      <c r="DQ23" s="673">
        <f>[1]Субсидия_факт!X21</f>
        <v>0</v>
      </c>
      <c r="DR23" s="814">
        <f>[1]Субсидия_факт!Z21</f>
        <v>0</v>
      </c>
      <c r="DS23" s="516">
        <f>[1]Субсидия_факт!AB21</f>
        <v>0</v>
      </c>
      <c r="DT23" s="673">
        <f>[1]Субсидия_факт!AD21</f>
        <v>142018</v>
      </c>
      <c r="DU23" s="535">
        <f t="shared" si="33"/>
        <v>142018</v>
      </c>
      <c r="DV23" s="548"/>
      <c r="DW23" s="547"/>
      <c r="DX23" s="717"/>
      <c r="DY23" s="547"/>
      <c r="DZ23" s="717"/>
      <c r="EA23" s="548"/>
      <c r="EB23" s="1210">
        <f t="shared" si="214"/>
        <v>142018</v>
      </c>
      <c r="EC23" s="504">
        <f t="shared" si="34"/>
        <v>0</v>
      </c>
      <c r="ED23" s="529">
        <f>[1]Субсидия_факт!BN21</f>
        <v>0</v>
      </c>
      <c r="EE23" s="896">
        <f>[1]Субсидия_факт!BP21</f>
        <v>0</v>
      </c>
      <c r="EF23" s="471">
        <f t="shared" si="35"/>
        <v>0</v>
      </c>
      <c r="EG23" s="809"/>
      <c r="EH23" s="1083"/>
      <c r="EI23" s="542">
        <f t="shared" si="152"/>
        <v>0</v>
      </c>
      <c r="EJ23" s="469">
        <f>[1]Субсидия_факт!AJ21</f>
        <v>0</v>
      </c>
      <c r="EK23" s="721">
        <f>[1]Субсидия_факт!AL21</f>
        <v>0</v>
      </c>
      <c r="EL23" s="449">
        <f>[1]Субсидия_факт!AN21</f>
        <v>0</v>
      </c>
      <c r="EM23" s="721">
        <f>[1]Субсидия_факт!AP21</f>
        <v>0</v>
      </c>
      <c r="EN23" s="535">
        <f t="shared" si="153"/>
        <v>0</v>
      </c>
      <c r="EO23" s="479"/>
      <c r="EP23" s="717"/>
      <c r="EQ23" s="479"/>
      <c r="ER23" s="717"/>
      <c r="ES23" s="504">
        <f t="shared" si="36"/>
        <v>0</v>
      </c>
      <c r="ET23" s="529">
        <f>[1]Субсидия_факт!AX21</f>
        <v>0</v>
      </c>
      <c r="EU23" s="789">
        <f>[1]Субсидия_факт!AZ21</f>
        <v>0</v>
      </c>
      <c r="EV23" s="471">
        <f t="shared" si="37"/>
        <v>0</v>
      </c>
      <c r="EW23" s="809"/>
      <c r="EX23" s="708"/>
      <c r="EY23" s="504">
        <f t="shared" si="38"/>
        <v>0</v>
      </c>
      <c r="EZ23" s="529">
        <f>[1]Субсидия_факт!BZ21</f>
        <v>0</v>
      </c>
      <c r="FA23" s="896">
        <f>[1]Субсидия_факт!CB21</f>
        <v>0</v>
      </c>
      <c r="FB23" s="471">
        <f t="shared" si="39"/>
        <v>0</v>
      </c>
      <c r="FC23" s="809"/>
      <c r="FD23" s="708"/>
      <c r="FE23" s="504">
        <f t="shared" si="40"/>
        <v>0</v>
      </c>
      <c r="FF23" s="529">
        <f>[1]Субсидия_факт!BR21</f>
        <v>0</v>
      </c>
      <c r="FG23" s="896">
        <f>[1]Субсидия_факт!BT21</f>
        <v>0</v>
      </c>
      <c r="FH23" s="471">
        <f t="shared" si="41"/>
        <v>0</v>
      </c>
      <c r="FI23" s="809"/>
      <c r="FJ23" s="708"/>
      <c r="FK23" s="504">
        <f t="shared" si="42"/>
        <v>0</v>
      </c>
      <c r="FL23" s="529">
        <f>[1]Субсидия_факт!KJ21</f>
        <v>0</v>
      </c>
      <c r="FM23" s="896">
        <f>[1]Субсидия_факт!KL21</f>
        <v>0</v>
      </c>
      <c r="FN23" s="471">
        <f t="shared" si="43"/>
        <v>0</v>
      </c>
      <c r="FO23" s="809"/>
      <c r="FP23" s="708"/>
      <c r="FQ23" s="504">
        <f t="shared" si="44"/>
        <v>0</v>
      </c>
      <c r="FR23" s="529">
        <f>[1]Субсидия_факт!KN21</f>
        <v>0</v>
      </c>
      <c r="FS23" s="896">
        <f>[1]Субсидия_факт!KR21</f>
        <v>0</v>
      </c>
      <c r="FT23" s="471">
        <f t="shared" si="45"/>
        <v>0</v>
      </c>
      <c r="FU23" s="809"/>
      <c r="FV23" s="708"/>
      <c r="FW23" s="695">
        <f t="shared" si="154"/>
        <v>0</v>
      </c>
      <c r="FX23" s="697">
        <f t="shared" si="155"/>
        <v>0</v>
      </c>
      <c r="FY23" s="695">
        <f t="shared" si="156"/>
        <v>0</v>
      </c>
      <c r="FZ23" s="697">
        <f t="shared" si="157"/>
        <v>0</v>
      </c>
      <c r="GA23" s="504">
        <f t="shared" si="158"/>
        <v>0</v>
      </c>
      <c r="GB23" s="1374">
        <f>[1]Субсидия_факт!BJ21</f>
        <v>0</v>
      </c>
      <c r="GC23" s="706">
        <f>[1]Субсидия_факт!BL21</f>
        <v>0</v>
      </c>
      <c r="GD23" s="504">
        <f t="shared" si="159"/>
        <v>0</v>
      </c>
      <c r="GE23" s="760"/>
      <c r="GF23" s="708"/>
      <c r="GG23" s="504">
        <f t="shared" si="46"/>
        <v>0</v>
      </c>
      <c r="GH23" s="760"/>
      <c r="GI23" s="708"/>
      <c r="GJ23" s="529"/>
      <c r="GK23" s="896"/>
      <c r="GL23" s="471">
        <f t="shared" si="47"/>
        <v>0</v>
      </c>
      <c r="GM23" s="760"/>
      <c r="GN23" s="708"/>
      <c r="GO23" s="760"/>
      <c r="GP23" s="708"/>
      <c r="GQ23" s="471">
        <f t="shared" si="160"/>
        <v>108064.39</v>
      </c>
      <c r="GR23" s="1374">
        <f>[1]Субсидия_факт!GJ21</f>
        <v>55272.61</v>
      </c>
      <c r="GS23" s="706">
        <f>[1]Субсидия_факт!GN21</f>
        <v>0</v>
      </c>
      <c r="GT23" s="529">
        <f>[1]Субсидия_факт!GX21</f>
        <v>30984.51</v>
      </c>
      <c r="GU23" s="896">
        <f>[1]Субсидия_факт!HB21</f>
        <v>21807.27</v>
      </c>
      <c r="GV23" s="471">
        <f t="shared" si="161"/>
        <v>52791.78</v>
      </c>
      <c r="GW23" s="760"/>
      <c r="GX23" s="708"/>
      <c r="GY23" s="760">
        <v>30984.51</v>
      </c>
      <c r="GZ23" s="708">
        <v>21807.27</v>
      </c>
      <c r="HA23" s="695">
        <f t="shared" si="162"/>
        <v>108064.39</v>
      </c>
      <c r="HB23" s="1374">
        <f t="shared" si="48"/>
        <v>55272.61</v>
      </c>
      <c r="HC23" s="1375">
        <f t="shared" si="49"/>
        <v>0</v>
      </c>
      <c r="HD23" s="529">
        <f t="shared" si="50"/>
        <v>30984.51</v>
      </c>
      <c r="HE23" s="896">
        <f t="shared" si="51"/>
        <v>21807.27</v>
      </c>
      <c r="HF23" s="695">
        <f t="shared" si="163"/>
        <v>52791.78</v>
      </c>
      <c r="HG23" s="1374">
        <f t="shared" si="52"/>
        <v>0</v>
      </c>
      <c r="HH23" s="1375">
        <f t="shared" si="53"/>
        <v>0</v>
      </c>
      <c r="HI23" s="529">
        <f t="shared" si="54"/>
        <v>30984.51</v>
      </c>
      <c r="HJ23" s="896">
        <f t="shared" si="55"/>
        <v>21807.27</v>
      </c>
      <c r="HK23" s="695">
        <f t="shared" si="164"/>
        <v>0</v>
      </c>
      <c r="HL23" s="1374">
        <f>[1]Субсидия_факт!GL21</f>
        <v>0</v>
      </c>
      <c r="HM23" s="706">
        <f>[1]Субсидия_факт!GP21</f>
        <v>0</v>
      </c>
      <c r="HN23" s="529">
        <f>[1]Субсидия_факт!GZ21</f>
        <v>0</v>
      </c>
      <c r="HO23" s="896">
        <f>[1]Субсидия_факт!HD21</f>
        <v>0</v>
      </c>
      <c r="HP23" s="695">
        <f t="shared" si="165"/>
        <v>0</v>
      </c>
      <c r="HQ23" s="760"/>
      <c r="HR23" s="708"/>
      <c r="HS23" s="760"/>
      <c r="HT23" s="708"/>
      <c r="HU23" s="542">
        <f t="shared" si="56"/>
        <v>0</v>
      </c>
      <c r="HV23" s="531">
        <f>[1]Субсидия_факт!N21</f>
        <v>0</v>
      </c>
      <c r="HW23" s="789">
        <f>[1]Субсидия_факт!P21</f>
        <v>0</v>
      </c>
      <c r="HX23" s="535">
        <f t="shared" si="57"/>
        <v>0</v>
      </c>
      <c r="HY23" s="547"/>
      <c r="HZ23" s="739"/>
      <c r="IA23" s="542">
        <f t="shared" si="58"/>
        <v>0</v>
      </c>
      <c r="IB23" s="541">
        <f>[1]Субсидия_факт!DZ21</f>
        <v>0</v>
      </c>
      <c r="IC23" s="721">
        <f>[1]Субсидия_факт!EB21</f>
        <v>0</v>
      </c>
      <c r="ID23" s="534">
        <f t="shared" si="59"/>
        <v>0</v>
      </c>
      <c r="IE23" s="547"/>
      <c r="IF23" s="739"/>
      <c r="IG23" s="542">
        <f t="shared" si="166"/>
        <v>0</v>
      </c>
      <c r="IH23" s="531">
        <f>[1]Субсидия_факт!EP21</f>
        <v>0</v>
      </c>
      <c r="II23" s="789">
        <f>[1]Субсидия_факт!ER21</f>
        <v>0</v>
      </c>
      <c r="IJ23" s="535">
        <f t="shared" si="167"/>
        <v>0</v>
      </c>
      <c r="IK23" s="547"/>
      <c r="IL23" s="739"/>
      <c r="IM23" s="599">
        <f t="shared" si="62"/>
        <v>208224.36000000002</v>
      </c>
      <c r="IN23" s="529">
        <f>[1]Субсидия_факт!ED21</f>
        <v>58303.1</v>
      </c>
      <c r="IO23" s="896">
        <f>[1]Субсидия_факт!EJ21</f>
        <v>149921.26</v>
      </c>
      <c r="IP23" s="471">
        <f t="shared" si="63"/>
        <v>208224.36</v>
      </c>
      <c r="IQ23" s="760">
        <v>58303.11</v>
      </c>
      <c r="IR23" s="708">
        <v>149921.25</v>
      </c>
      <c r="IS23" s="471">
        <f t="shared" si="64"/>
        <v>815438.47000000009</v>
      </c>
      <c r="IT23" s="529">
        <f>[1]Субсидия_факт!EF21</f>
        <v>228323.91</v>
      </c>
      <c r="IU23" s="789">
        <f>[1]Субсидия_факт!EL21</f>
        <v>587114.56000000006</v>
      </c>
      <c r="IV23" s="471">
        <f t="shared" si="65"/>
        <v>474808.53</v>
      </c>
      <c r="IW23" s="650">
        <v>132947.04</v>
      </c>
      <c r="IX23" s="742">
        <v>341861.49</v>
      </c>
      <c r="IY23" s="697">
        <f t="shared" si="66"/>
        <v>815438.47000000009</v>
      </c>
      <c r="IZ23" s="787">
        <f>'План и исполнение'!IT23-'План и исполнение'!JF23</f>
        <v>228323.91</v>
      </c>
      <c r="JA23" s="706">
        <f>'План и исполнение'!IU23-'План и исполнение'!JG23</f>
        <v>587114.56000000006</v>
      </c>
      <c r="JB23" s="691">
        <f t="shared" si="67"/>
        <v>474808.53</v>
      </c>
      <c r="JC23" s="793">
        <f>'План и исполнение'!IW23-'План и исполнение'!JI23</f>
        <v>132947.04</v>
      </c>
      <c r="JD23" s="804">
        <f>'План и исполнение'!IX23-'План и исполнение'!JJ23</f>
        <v>341861.49</v>
      </c>
      <c r="JE23" s="697">
        <f t="shared" si="68"/>
        <v>0</v>
      </c>
      <c r="JF23" s="529">
        <f>[1]Субсидия_факт!EH21</f>
        <v>0</v>
      </c>
      <c r="JG23" s="896">
        <f>[1]Субсидия_факт!EN21</f>
        <v>0</v>
      </c>
      <c r="JH23" s="697">
        <f t="shared" si="69"/>
        <v>0</v>
      </c>
      <c r="JI23" s="529"/>
      <c r="JJ23" s="789"/>
      <c r="JK23" s="471">
        <f t="shared" si="70"/>
        <v>0</v>
      </c>
      <c r="JL23" s="793">
        <f>[1]Субсидия_факт!AR21</f>
        <v>0</v>
      </c>
      <c r="JM23" s="706">
        <f>[1]Субсидия_факт!AT21</f>
        <v>0</v>
      </c>
      <c r="JN23" s="471">
        <f t="shared" si="71"/>
        <v>0</v>
      </c>
      <c r="JO23" s="650"/>
      <c r="JP23" s="708"/>
      <c r="JQ23" s="785">
        <f t="shared" si="72"/>
        <v>212421.46000000002</v>
      </c>
      <c r="JR23" s="793">
        <f>[1]Субсидия_факт!CJ21</f>
        <v>0</v>
      </c>
      <c r="JS23" s="706">
        <f>[1]Субсидия_факт!CP21</f>
        <v>0</v>
      </c>
      <c r="JT23" s="529">
        <f>[1]Субсидия_факт!DN21</f>
        <v>99355.22</v>
      </c>
      <c r="JU23" s="896">
        <f>[1]Субсидия_факт!DT21</f>
        <v>113066.24000000001</v>
      </c>
      <c r="JV23" s="471">
        <f t="shared" si="73"/>
        <v>0</v>
      </c>
      <c r="JW23" s="650"/>
      <c r="JX23" s="708"/>
      <c r="JY23" s="650"/>
      <c r="JZ23" s="892"/>
      <c r="KA23" s="785">
        <f t="shared" si="74"/>
        <v>0</v>
      </c>
      <c r="KB23" s="793">
        <f>[1]Субсидия_факт!CL21</f>
        <v>0</v>
      </c>
      <c r="KC23" s="706">
        <f>[1]Субсидия_факт!CR21</f>
        <v>0</v>
      </c>
      <c r="KD23" s="529">
        <f>[1]Субсидия_факт!DP21</f>
        <v>0</v>
      </c>
      <c r="KE23" s="896">
        <f>[1]Субсидия_факт!DV21</f>
        <v>0</v>
      </c>
      <c r="KF23" s="471">
        <f t="shared" si="75"/>
        <v>0</v>
      </c>
      <c r="KG23" s="650"/>
      <c r="KH23" s="708"/>
      <c r="KI23" s="809"/>
      <c r="KJ23" s="708"/>
      <c r="KK23" s="788">
        <f t="shared" si="76"/>
        <v>0</v>
      </c>
      <c r="KL23" s="793">
        <f>'План и исполнение'!KB23-KV23</f>
        <v>0</v>
      </c>
      <c r="KM23" s="706">
        <f>'План и исполнение'!KC23-KW23</f>
        <v>0</v>
      </c>
      <c r="KN23" s="787">
        <f>'План и исполнение'!KD23-KX23</f>
        <v>0</v>
      </c>
      <c r="KO23" s="706">
        <f>'План и исполнение'!KE23-KY23</f>
        <v>0</v>
      </c>
      <c r="KP23" s="788">
        <f t="shared" si="77"/>
        <v>0</v>
      </c>
      <c r="KQ23" s="793">
        <f>'План и исполнение'!KG23-LA23</f>
        <v>0</v>
      </c>
      <c r="KR23" s="830">
        <f>'План и исполнение'!KH23-LB23</f>
        <v>0</v>
      </c>
      <c r="KS23" s="793">
        <f>'План и исполнение'!KI23-LC23</f>
        <v>0</v>
      </c>
      <c r="KT23" s="804">
        <f>'План и исполнение'!KJ23-LD23</f>
        <v>0</v>
      </c>
      <c r="KU23" s="697">
        <f t="shared" si="78"/>
        <v>0</v>
      </c>
      <c r="KV23" s="793">
        <f>[1]Субсидия_факт!CN21</f>
        <v>0</v>
      </c>
      <c r="KW23" s="706">
        <f>[1]Субсидия_факт!CT21</f>
        <v>0</v>
      </c>
      <c r="KX23" s="529">
        <f>[1]Субсидия_факт!DR21</f>
        <v>0</v>
      </c>
      <c r="KY23" s="896">
        <f>[1]Субсидия_факт!DX21</f>
        <v>0</v>
      </c>
      <c r="KZ23" s="697">
        <f t="shared" si="79"/>
        <v>0</v>
      </c>
      <c r="LA23" s="650"/>
      <c r="LB23" s="708"/>
      <c r="LC23" s="531"/>
      <c r="LD23" s="1639"/>
      <c r="LE23" s="504">
        <f t="shared" si="168"/>
        <v>0</v>
      </c>
      <c r="LF23" s="529">
        <f>[1]Субсидия_факт!CD21</f>
        <v>0</v>
      </c>
      <c r="LG23" s="789">
        <f>[1]Субсидия_факт!CF21</f>
        <v>0</v>
      </c>
      <c r="LH23" s="529">
        <f>[1]Субсидия_факт!BV21</f>
        <v>0</v>
      </c>
      <c r="LI23" s="789">
        <f>[1]Субсидия_факт!BX21</f>
        <v>0</v>
      </c>
      <c r="LJ23" s="529">
        <f>[1]Субсидия_факт!CH21</f>
        <v>0</v>
      </c>
      <c r="LK23" s="471">
        <f t="shared" si="169"/>
        <v>0</v>
      </c>
      <c r="LL23" s="650"/>
      <c r="LM23" s="708"/>
      <c r="LN23" s="650"/>
      <c r="LO23" s="708"/>
      <c r="LP23" s="650"/>
      <c r="LQ23" s="504">
        <f t="shared" si="80"/>
        <v>0</v>
      </c>
      <c r="LR23" s="516">
        <f>[1]Субсидия_факт!HN21</f>
        <v>0</v>
      </c>
      <c r="LS23" s="529">
        <f>[1]Субсидия_факт!HL21</f>
        <v>0</v>
      </c>
      <c r="LT23" s="541">
        <f>[1]Субсидия_факт!HV21</f>
        <v>0</v>
      </c>
      <c r="LU23" s="721">
        <f>[1]Субсидия_факт!HX21</f>
        <v>0</v>
      </c>
      <c r="LV23" s="471">
        <f t="shared" si="81"/>
        <v>0</v>
      </c>
      <c r="LW23" s="344"/>
      <c r="LX23" s="650"/>
      <c r="LY23" s="479"/>
      <c r="LZ23" s="717"/>
      <c r="MA23" s="471">
        <f t="shared" si="82"/>
        <v>0</v>
      </c>
      <c r="MB23" s="531">
        <f>[1]Субсидия_факт!HT21</f>
        <v>0</v>
      </c>
      <c r="MC23" s="531">
        <f>[1]Субсидия_факт!HP21</f>
        <v>0</v>
      </c>
      <c r="MD23" s="789">
        <f>[1]Субсидия_факт!HR21</f>
        <v>0</v>
      </c>
      <c r="ME23" s="471">
        <f t="shared" si="83"/>
        <v>0</v>
      </c>
      <c r="MF23" s="793">
        <f t="shared" si="170"/>
        <v>0</v>
      </c>
      <c r="MG23" s="650"/>
      <c r="MH23" s="708"/>
      <c r="MI23" s="893">
        <f t="shared" si="84"/>
        <v>0</v>
      </c>
      <c r="MJ23" s="893">
        <f t="shared" si="85"/>
        <v>0</v>
      </c>
      <c r="MK23" s="695">
        <f t="shared" si="86"/>
        <v>0</v>
      </c>
      <c r="ML23" s="1028">
        <f t="shared" si="87"/>
        <v>0</v>
      </c>
      <c r="MM23" s="791">
        <f t="shared" si="216"/>
        <v>0</v>
      </c>
      <c r="MN23" s="529">
        <f>[1]Субсидия_факт!LH21</f>
        <v>0</v>
      </c>
      <c r="MO23" s="896">
        <f>[1]Субсидия_факт!LN21</f>
        <v>0</v>
      </c>
      <c r="MP23" s="531"/>
      <c r="MQ23" s="791">
        <f t="shared" si="171"/>
        <v>0</v>
      </c>
      <c r="MR23" s="809"/>
      <c r="MS23" s="708"/>
      <c r="MT23" s="531"/>
      <c r="MU23" s="791">
        <f t="shared" si="172"/>
        <v>4000000</v>
      </c>
      <c r="MV23" s="529">
        <f>[1]Субсидия_факт!LJ21</f>
        <v>0</v>
      </c>
      <c r="MW23" s="896">
        <f>[1]Субсидия_факт!LP21</f>
        <v>0</v>
      </c>
      <c r="MX23" s="531">
        <f>[1]Субсидия_факт!LT21</f>
        <v>4000000</v>
      </c>
      <c r="MY23" s="791">
        <f t="shared" si="173"/>
        <v>4000000</v>
      </c>
      <c r="MZ23" s="650"/>
      <c r="NA23" s="808"/>
      <c r="NB23" s="531">
        <f t="shared" si="174"/>
        <v>4000000</v>
      </c>
      <c r="NC23" s="792">
        <f t="shared" si="175"/>
        <v>4000000</v>
      </c>
      <c r="ND23" s="680">
        <f>'План и исполнение'!MV23-NL23</f>
        <v>0</v>
      </c>
      <c r="NE23" s="713">
        <f>'План и исполнение'!MW23-NM23</f>
        <v>0</v>
      </c>
      <c r="NF23" s="647">
        <f>'План и исполнение'!MX23-NN23</f>
        <v>4000000</v>
      </c>
      <c r="NG23" s="792">
        <f t="shared" si="176"/>
        <v>4000000</v>
      </c>
      <c r="NH23" s="787">
        <f>'План и исполнение'!MZ23-NP23</f>
        <v>0</v>
      </c>
      <c r="NI23" s="706">
        <f>'План и исполнение'!NA23-NQ23</f>
        <v>0</v>
      </c>
      <c r="NJ23" s="793">
        <f>'План и исполнение'!NB23-NR23</f>
        <v>4000000</v>
      </c>
      <c r="NK23" s="792">
        <f t="shared" si="177"/>
        <v>0</v>
      </c>
      <c r="NL23" s="529">
        <f>[1]Субсидия_факт!LL21</f>
        <v>0</v>
      </c>
      <c r="NM23" s="896">
        <f>[1]Субсидия_факт!LR21</f>
        <v>0</v>
      </c>
      <c r="NN23" s="529">
        <f>[1]Субсидия_факт!LV21</f>
        <v>0</v>
      </c>
      <c r="NO23" s="792">
        <f t="shared" si="178"/>
        <v>0</v>
      </c>
      <c r="NP23" s="787">
        <f t="shared" si="179"/>
        <v>0</v>
      </c>
      <c r="NQ23" s="706">
        <f t="shared" si="180"/>
        <v>0</v>
      </c>
      <c r="NR23" s="529">
        <f t="shared" si="215"/>
        <v>0</v>
      </c>
      <c r="NS23" s="535">
        <f t="shared" si="181"/>
        <v>0</v>
      </c>
      <c r="NT23" s="1285">
        <f>[1]Субсидия_факт!NF21</f>
        <v>0</v>
      </c>
      <c r="NU23" s="713">
        <f>[1]Субсидия_факт!NH21</f>
        <v>0</v>
      </c>
      <c r="NV23" s="535">
        <f t="shared" si="182"/>
        <v>0</v>
      </c>
      <c r="NW23" s="344"/>
      <c r="NX23" s="739"/>
      <c r="NY23" s="535">
        <f t="shared" si="183"/>
        <v>7129191.7400000002</v>
      </c>
      <c r="NZ23" s="1194">
        <f>[1]Субсидия_факт!LX21</f>
        <v>0</v>
      </c>
      <c r="OA23" s="1295">
        <f>[1]Субсидия_факт!MB21</f>
        <v>0</v>
      </c>
      <c r="OB23" s="1194">
        <f>[1]Субсидия_факт!MF21</f>
        <v>1996173.6800000002</v>
      </c>
      <c r="OC23" s="713">
        <f>[1]Субсидия_факт!MJ21</f>
        <v>5133018.0600000005</v>
      </c>
      <c r="OD23" s="1285">
        <f>[1]Субсидия_факт!NJ21</f>
        <v>0</v>
      </c>
      <c r="OE23" s="713">
        <f>[1]Субсидия_факт!NN21</f>
        <v>0</v>
      </c>
      <c r="OF23" s="535">
        <f t="shared" si="184"/>
        <v>0</v>
      </c>
      <c r="OG23" s="493"/>
      <c r="OH23" s="746"/>
      <c r="OI23" s="344"/>
      <c r="OJ23" s="739"/>
      <c r="OK23" s="493"/>
      <c r="OL23" s="746"/>
      <c r="OM23" s="610">
        <f t="shared" si="185"/>
        <v>7129191.7400000002</v>
      </c>
      <c r="ON23" s="1194">
        <f t="shared" si="88"/>
        <v>0</v>
      </c>
      <c r="OO23" s="713">
        <f t="shared" si="89"/>
        <v>0</v>
      </c>
      <c r="OP23" s="493">
        <f t="shared" si="90"/>
        <v>1996173.6800000002</v>
      </c>
      <c r="OQ23" s="713">
        <f t="shared" si="91"/>
        <v>5133018.0600000005</v>
      </c>
      <c r="OR23" s="1285">
        <f t="shared" si="92"/>
        <v>0</v>
      </c>
      <c r="OS23" s="713">
        <f t="shared" si="93"/>
        <v>0</v>
      </c>
      <c r="OT23" s="610">
        <f t="shared" si="186"/>
        <v>0</v>
      </c>
      <c r="OU23" s="1194">
        <f t="shared" si="94"/>
        <v>0</v>
      </c>
      <c r="OV23" s="713">
        <f t="shared" si="95"/>
        <v>0</v>
      </c>
      <c r="OW23" s="493">
        <f t="shared" si="96"/>
        <v>0</v>
      </c>
      <c r="OX23" s="713">
        <f t="shared" si="97"/>
        <v>0</v>
      </c>
      <c r="OY23" s="1285">
        <f t="shared" si="98"/>
        <v>0</v>
      </c>
      <c r="OZ23" s="713">
        <f t="shared" si="99"/>
        <v>0</v>
      </c>
      <c r="PA23" s="610">
        <f t="shared" si="187"/>
        <v>0</v>
      </c>
      <c r="PB23" s="1194">
        <f>[1]Субсидия_факт!LZ21</f>
        <v>0</v>
      </c>
      <c r="PC23" s="1295">
        <f>[1]Субсидия_факт!MD21</f>
        <v>0</v>
      </c>
      <c r="PD23" s="1194">
        <f>[1]Субсидия_факт!MH21</f>
        <v>0</v>
      </c>
      <c r="PE23" s="713">
        <f>[1]Субсидия_факт!ML21</f>
        <v>0</v>
      </c>
      <c r="PF23" s="991">
        <f>[1]Субсидия_факт!NL21</f>
        <v>0</v>
      </c>
      <c r="PG23" s="801">
        <f>[1]Субсидия_факт!NP21</f>
        <v>0</v>
      </c>
      <c r="PH23" s="610">
        <f t="shared" si="188"/>
        <v>0</v>
      </c>
      <c r="PI23" s="991"/>
      <c r="PJ23" s="746"/>
      <c r="PK23" s="493"/>
      <c r="PL23" s="746"/>
      <c r="PM23" s="493"/>
      <c r="PN23" s="746"/>
      <c r="PO23" s="504">
        <f t="shared" si="100"/>
        <v>0</v>
      </c>
      <c r="PP23" s="529">
        <f>[1]Субсидия_факт!AF21</f>
        <v>0</v>
      </c>
      <c r="PQ23" s="896">
        <f>[1]Субсидия_факт!AH21</f>
        <v>0</v>
      </c>
      <c r="PR23" s="471">
        <f t="shared" si="101"/>
        <v>0</v>
      </c>
      <c r="PS23" s="809"/>
      <c r="PT23" s="708"/>
      <c r="PU23" s="535">
        <f t="shared" si="102"/>
        <v>0</v>
      </c>
      <c r="PV23" s="673">
        <f>[1]Субсидия_факт!MN21</f>
        <v>0</v>
      </c>
      <c r="PW23" s="814">
        <f>[1]Субсидия_факт!MP21</f>
        <v>0</v>
      </c>
      <c r="PX23" s="535">
        <f t="shared" si="103"/>
        <v>0</v>
      </c>
      <c r="PY23" s="1377"/>
      <c r="PZ23" s="717"/>
      <c r="QA23" s="535">
        <f t="shared" si="104"/>
        <v>0</v>
      </c>
      <c r="QB23" s="1194">
        <f>[1]Субсидия_факт!MR21</f>
        <v>0</v>
      </c>
      <c r="QC23" s="713">
        <f>[1]Субсидия_факт!MV21</f>
        <v>0</v>
      </c>
      <c r="QD23" s="535">
        <f t="shared" si="105"/>
        <v>0</v>
      </c>
      <c r="QE23" s="479"/>
      <c r="QF23" s="717"/>
      <c r="QG23" s="610">
        <f t="shared" si="106"/>
        <v>0</v>
      </c>
      <c r="QH23" s="1194">
        <f t="shared" si="107"/>
        <v>0</v>
      </c>
      <c r="QI23" s="713">
        <f t="shared" si="108"/>
        <v>0</v>
      </c>
      <c r="QJ23" s="610">
        <f t="shared" si="109"/>
        <v>0</v>
      </c>
      <c r="QK23" s="1194">
        <f t="shared" si="110"/>
        <v>0</v>
      </c>
      <c r="QL23" s="713">
        <f t="shared" si="111"/>
        <v>0</v>
      </c>
      <c r="QM23" s="610">
        <f t="shared" si="112"/>
        <v>0</v>
      </c>
      <c r="QN23" s="1210">
        <f>[1]Субсидия_факт!MT21</f>
        <v>0</v>
      </c>
      <c r="QO23" s="713">
        <f>[1]Субсидия_факт!MX21</f>
        <v>0</v>
      </c>
      <c r="QP23" s="610">
        <f t="shared" si="113"/>
        <v>0</v>
      </c>
      <c r="QQ23" s="479"/>
      <c r="QR23" s="717"/>
      <c r="QS23" s="535">
        <f>'Прочая  субсидия_МР  и  ГО'!B19</f>
        <v>13296620.15</v>
      </c>
      <c r="QT23" s="535">
        <f>'Прочая  субсидия_МР  и  ГО'!C19</f>
        <v>1872876.34</v>
      </c>
      <c r="QU23" s="540">
        <f>'Прочая  субсидия_БП'!B19</f>
        <v>2095259.24</v>
      </c>
      <c r="QV23" s="542">
        <f>'Прочая  субсидия_БП'!C19</f>
        <v>2095259.24</v>
      </c>
      <c r="QW23" s="605">
        <f>'Прочая  субсидия_БП'!D19</f>
        <v>2095259.24</v>
      </c>
      <c r="QX23" s="604">
        <f>'Прочая  субсидия_БП'!E19</f>
        <v>2095259.24</v>
      </c>
      <c r="QY23" s="611">
        <f>'Прочая  субсидия_БП'!F19</f>
        <v>0</v>
      </c>
      <c r="QZ23" s="605">
        <f>'Прочая  субсидия_БП'!G19</f>
        <v>0</v>
      </c>
      <c r="RA23" s="542">
        <f t="shared" si="189"/>
        <v>260957555</v>
      </c>
      <c r="RB23" s="469">
        <f>'План и исполнение'!RZ23+'План и исполнение'!RG23+'План и исполнение'!RI23+'План и исполнение'!RK23</f>
        <v>258428655</v>
      </c>
      <c r="RC23" s="343">
        <f>'План и исполнение'!SB23+'План и исполнение'!RM23+'План и исполнение'!RS23+'План и исполнение'!RO23+'План и исполнение'!RQ23+RU23+RW23+SA23</f>
        <v>2528900</v>
      </c>
      <c r="RD23" s="534">
        <f t="shared" si="190"/>
        <v>141887609.59999999</v>
      </c>
      <c r="RE23" s="541">
        <f>'План и исполнение'!SD23+'План и исполнение'!RH23+'План и исполнение'!RJ23+'План и исполнение'!RL23</f>
        <v>140738585</v>
      </c>
      <c r="RF23" s="343">
        <f>'План и исполнение'!SF23+'План и исполнение'!RN23+'План и исполнение'!RT23+'План и исполнение'!RP23+'План и исполнение'!RR23+RV23+RX23+SE23</f>
        <v>1149024.6000000001</v>
      </c>
      <c r="RG23" s="599">
        <f>'Субвенция  на  полномочия'!B19</f>
        <v>245632255</v>
      </c>
      <c r="RH23" s="471">
        <f>'Субвенция  на  полномочия'!C19</f>
        <v>134521585</v>
      </c>
      <c r="RI23" s="768">
        <f>[1]Субвенция_факт!P20*1000</f>
        <v>8886300</v>
      </c>
      <c r="RJ23" s="771">
        <v>4650000</v>
      </c>
      <c r="RK23" s="768">
        <f>[1]Субвенция_факт!K20*1000</f>
        <v>2868900</v>
      </c>
      <c r="RL23" s="771">
        <v>950000</v>
      </c>
      <c r="RM23" s="768">
        <f>[1]Субвенция_факт!AF20*1000</f>
        <v>1168900</v>
      </c>
      <c r="RN23" s="771">
        <v>447939.11</v>
      </c>
      <c r="RO23" s="768">
        <f>[1]Субвенция_факт!AG20*1000</f>
        <v>0</v>
      </c>
      <c r="RP23" s="771">
        <v>0</v>
      </c>
      <c r="RQ23" s="768">
        <f>[1]Субвенция_факт!E20*1000</f>
        <v>0</v>
      </c>
      <c r="RR23" s="771"/>
      <c r="RS23" s="768">
        <f>[1]Субвенция_факт!F20*1000</f>
        <v>0</v>
      </c>
      <c r="RT23" s="877"/>
      <c r="RU23" s="168">
        <f>[1]Субвенция_факт!G20*1000</f>
        <v>0</v>
      </c>
      <c r="RV23" s="1241"/>
      <c r="RW23" s="168">
        <f>[1]Субвенция_факт!H20*1000</f>
        <v>0</v>
      </c>
      <c r="RX23" s="878"/>
      <c r="RY23" s="504">
        <f t="shared" si="191"/>
        <v>2401200</v>
      </c>
      <c r="RZ23" s="887">
        <f>[1]Субвенция_факт!AE20*1000</f>
        <v>1041200</v>
      </c>
      <c r="SA23" s="882">
        <f>[1]Субвенция_факт!AD20*1000</f>
        <v>0</v>
      </c>
      <c r="SB23" s="1158">
        <f>[1]Субвенция_факт!AC20*1000</f>
        <v>1360000</v>
      </c>
      <c r="SC23" s="535">
        <f t="shared" si="116"/>
        <v>1318085.49</v>
      </c>
      <c r="SD23" s="974">
        <v>617000</v>
      </c>
      <c r="SE23" s="1645"/>
      <c r="SF23" s="1652">
        <v>701085.49</v>
      </c>
      <c r="SG23" s="279">
        <f>'План и исполнение'!VI23+'План и исполнение'!VA23+'План и исполнение'!TA23+'План и исполнение'!TE23+UO23+UU23+SO23+SS23+TM23+TQ23+UE23+SI23+TY23</f>
        <v>0</v>
      </c>
      <c r="SH23" s="168">
        <f>'План и исполнение'!VK23+'План и исполнение'!VE23+'План и исполнение'!TC23+'План и исполнение'!TG23+UR23+UX23+SQ23+SU23+TO23+TS23+UH23+SL23+UB23</f>
        <v>0</v>
      </c>
      <c r="SI23" s="540">
        <f t="shared" si="117"/>
        <v>0</v>
      </c>
      <c r="SJ23" s="887">
        <f>'[1]Иные межбюджетные трансферты'!E21</f>
        <v>0</v>
      </c>
      <c r="SK23" s="945">
        <f>'[1]Иные межбюджетные трансферты'!G21</f>
        <v>0</v>
      </c>
      <c r="SL23" s="535">
        <f t="shared" si="118"/>
        <v>0</v>
      </c>
      <c r="SM23" s="1323"/>
      <c r="SN23" s="1464"/>
      <c r="SO23" s="1335">
        <f t="shared" si="192"/>
        <v>0</v>
      </c>
      <c r="SP23" s="1115">
        <f>'[1]Иные межбюджетные трансферты'!W21</f>
        <v>0</v>
      </c>
      <c r="SQ23" s="1333">
        <f t="shared" si="193"/>
        <v>0</v>
      </c>
      <c r="SR23" s="1334"/>
      <c r="SS23" s="1336">
        <f t="shared" si="194"/>
        <v>0</v>
      </c>
      <c r="ST23" s="1115">
        <f>'[1]Иные межбюджетные трансферты'!Y21</f>
        <v>0</v>
      </c>
      <c r="SU23" s="1344">
        <f t="shared" si="195"/>
        <v>0</v>
      </c>
      <c r="SV23" s="1334"/>
      <c r="SW23" s="1336">
        <f t="shared" si="196"/>
        <v>0</v>
      </c>
      <c r="SX23" s="1344">
        <f t="shared" si="197"/>
        <v>0</v>
      </c>
      <c r="SY23" s="1355">
        <f t="shared" si="198"/>
        <v>0</v>
      </c>
      <c r="SZ23" s="1344">
        <f t="shared" si="199"/>
        <v>0</v>
      </c>
      <c r="TA23" s="1350">
        <f t="shared" si="119"/>
        <v>0</v>
      </c>
      <c r="TB23" s="1115">
        <f>'[1]Иные межбюджетные трансферты'!AC21</f>
        <v>0</v>
      </c>
      <c r="TC23" s="965">
        <f t="shared" si="120"/>
        <v>0</v>
      </c>
      <c r="TD23" s="945"/>
      <c r="TE23" s="971">
        <f t="shared" si="121"/>
        <v>0</v>
      </c>
      <c r="TF23" s="1115">
        <f>'[1]Иные межбюджетные трансферты'!AE21</f>
        <v>0</v>
      </c>
      <c r="TG23" s="965">
        <f t="shared" si="122"/>
        <v>0</v>
      </c>
      <c r="TH23" s="1214"/>
      <c r="TI23" s="968">
        <f t="shared" si="123"/>
        <v>0</v>
      </c>
      <c r="TJ23" s="962">
        <f t="shared" si="124"/>
        <v>0</v>
      </c>
      <c r="TK23" s="1219">
        <f t="shared" si="200"/>
        <v>0</v>
      </c>
      <c r="TL23" s="962">
        <f t="shared" si="201"/>
        <v>0</v>
      </c>
      <c r="TM23" s="971">
        <f t="shared" si="125"/>
        <v>0</v>
      </c>
      <c r="TN23" s="1115">
        <f>'[1]Иные межбюджетные трансферты'!AI21</f>
        <v>0</v>
      </c>
      <c r="TO23" s="965">
        <f t="shared" si="126"/>
        <v>0</v>
      </c>
      <c r="TP23" s="945"/>
      <c r="TQ23" s="971">
        <f t="shared" si="127"/>
        <v>0</v>
      </c>
      <c r="TR23" s="1115">
        <f>'[1]Иные межбюджетные трансферты'!AK21</f>
        <v>0</v>
      </c>
      <c r="TS23" s="965">
        <f t="shared" si="128"/>
        <v>0</v>
      </c>
      <c r="TT23" s="1214"/>
      <c r="TU23" s="968">
        <f t="shared" si="129"/>
        <v>0</v>
      </c>
      <c r="TV23" s="962">
        <f t="shared" si="130"/>
        <v>0</v>
      </c>
      <c r="TW23" s="1219">
        <f t="shared" si="202"/>
        <v>0</v>
      </c>
      <c r="TX23" s="968">
        <f t="shared" si="203"/>
        <v>0</v>
      </c>
      <c r="TY23" s="971">
        <f t="shared" si="204"/>
        <v>0</v>
      </c>
      <c r="TZ23" s="1210"/>
      <c r="UA23" s="713"/>
      <c r="UB23" s="971">
        <f t="shared" si="205"/>
        <v>0</v>
      </c>
      <c r="UC23" s="810"/>
      <c r="UD23" s="717"/>
      <c r="UE23" s="971">
        <f t="shared" si="206"/>
        <v>0</v>
      </c>
      <c r="UF23" s="1210">
        <f>'[1]Иные межбюджетные трансферты'!AS21</f>
        <v>0</v>
      </c>
      <c r="UG23" s="713">
        <f>'[1]Иные межбюджетные трансферты'!AW21</f>
        <v>0</v>
      </c>
      <c r="UH23" s="965">
        <f t="shared" si="207"/>
        <v>0</v>
      </c>
      <c r="UI23" s="1484"/>
      <c r="UJ23" s="804"/>
      <c r="UK23" s="865">
        <f t="shared" si="208"/>
        <v>0</v>
      </c>
      <c r="UL23" s="865">
        <f t="shared" si="209"/>
        <v>0</v>
      </c>
      <c r="UM23" s="865">
        <f t="shared" si="210"/>
        <v>0</v>
      </c>
      <c r="UN23" s="1493">
        <f t="shared" si="211"/>
        <v>0</v>
      </c>
      <c r="UO23" s="1267">
        <f t="shared" si="131"/>
        <v>0</v>
      </c>
      <c r="UP23" s="1029">
        <f>'[1]Иные межбюджетные трансферты'!S21</f>
        <v>0</v>
      </c>
      <c r="UQ23" s="1266">
        <f>'[1]Иные межбюджетные трансферты'!U21</f>
        <v>0</v>
      </c>
      <c r="UR23" s="769">
        <f t="shared" si="132"/>
        <v>0</v>
      </c>
      <c r="US23" s="1029"/>
      <c r="UT23" s="1266"/>
      <c r="UU23" s="1267">
        <f t="shared" si="133"/>
        <v>0</v>
      </c>
      <c r="UV23" s="1029">
        <f>'[1]Иные межбюджетные трансферты'!O21</f>
        <v>0</v>
      </c>
      <c r="UW23" s="1266">
        <f>'[1]Иные межбюджетные трансферты'!Q21</f>
        <v>0</v>
      </c>
      <c r="UX23" s="769">
        <f t="shared" si="134"/>
        <v>0</v>
      </c>
      <c r="UY23" s="1029"/>
      <c r="UZ23" s="1266"/>
      <c r="VA23" s="888">
        <f t="shared" si="212"/>
        <v>0</v>
      </c>
      <c r="VB23" s="887">
        <f>'[1]Иные межбюджетные трансферты'!I21</f>
        <v>0</v>
      </c>
      <c r="VC23" s="945">
        <f>'[1]Иные межбюджетные трансферты'!K21</f>
        <v>0</v>
      </c>
      <c r="VD23" s="1158">
        <f>'[1]Иные межбюджетные трансферты'!M21</f>
        <v>0</v>
      </c>
      <c r="VE23" s="888">
        <f t="shared" si="213"/>
        <v>0</v>
      </c>
      <c r="VF23" s="980"/>
      <c r="VG23" s="978"/>
      <c r="VH23" s="1323"/>
      <c r="VI23" s="528">
        <f t="shared" si="135"/>
        <v>0</v>
      </c>
      <c r="VJ23" s="882"/>
      <c r="VK23" s="888">
        <f t="shared" si="136"/>
        <v>0</v>
      </c>
      <c r="VL23" s="531"/>
      <c r="VM23" s="893">
        <f t="shared" si="137"/>
        <v>0</v>
      </c>
      <c r="VN23" s="529"/>
      <c r="VO23" s="893">
        <f t="shared" si="138"/>
        <v>0</v>
      </c>
      <c r="VP23" s="529"/>
      <c r="VQ23" s="893">
        <f t="shared" si="139"/>
        <v>0</v>
      </c>
      <c r="VR23" s="882"/>
      <c r="VS23" s="1028">
        <f t="shared" si="140"/>
        <v>0</v>
      </c>
      <c r="VT23" s="531"/>
      <c r="VU23" s="535">
        <f>VW23+'План и исполнение'!WE23+WA23+'План и исполнение'!WI23+WC23+'План и исполнение'!WK23</f>
        <v>-35741700</v>
      </c>
      <c r="VV23" s="535">
        <f>VX23+'План и исполнение'!WF23+WB23+'План и исполнение'!WJ23+WD23+'План и исполнение'!WL23</f>
        <v>2488300</v>
      </c>
      <c r="VW23" s="549">
        <v>13000000</v>
      </c>
      <c r="VX23" s="549">
        <v>13000000</v>
      </c>
      <c r="VY23" s="549"/>
      <c r="VZ23" s="549"/>
      <c r="WA23" s="546">
        <f t="shared" si="141"/>
        <v>0</v>
      </c>
      <c r="WB23" s="544">
        <f t="shared" si="142"/>
        <v>0</v>
      </c>
      <c r="WC23" s="550"/>
      <c r="WD23" s="539"/>
      <c r="WE23" s="549">
        <f>-33491700-13000000</f>
        <v>-46491700</v>
      </c>
      <c r="WF23" s="549">
        <v>-9841700</v>
      </c>
      <c r="WG23" s="549">
        <v>-2250000</v>
      </c>
      <c r="WH23" s="549">
        <f>-670000</f>
        <v>-670000</v>
      </c>
      <c r="WI23" s="546">
        <f t="shared" si="143"/>
        <v>-2250000</v>
      </c>
      <c r="WJ23" s="544">
        <f t="shared" si="144"/>
        <v>-670000</v>
      </c>
      <c r="WK23" s="539"/>
      <c r="WL23" s="539"/>
      <c r="WM23" s="1547">
        <f>'План и исполнение'!WE23+'План и исполнение'!WG23</f>
        <v>-48741700</v>
      </c>
      <c r="WN23" s="1547">
        <f>'План и исполнение'!WF23+'План и исполнение'!WH23</f>
        <v>-10511700</v>
      </c>
      <c r="WO23" s="1154"/>
    </row>
    <row r="24" spans="1:613" s="340" customFormat="1" ht="25.5" customHeight="1" x14ac:dyDescent="0.3">
      <c r="A24" s="350" t="s">
        <v>91</v>
      </c>
      <c r="B24" s="542">
        <f>D24+AI24+'План и исполнение'!RA24+'План и исполнение'!SG24</f>
        <v>788403329.76999998</v>
      </c>
      <c r="C24" s="535">
        <f>E24+'План и исполнение'!RD24+AJ24+'План и исполнение'!SH24</f>
        <v>466664960.74000001</v>
      </c>
      <c r="D24" s="540">
        <f t="shared" si="0"/>
        <v>53004955</v>
      </c>
      <c r="E24" s="542">
        <f t="shared" si="1"/>
        <v>37061350</v>
      </c>
      <c r="F24" s="603">
        <f>'[1]Дотация  из  ОБ_факт'!M20</f>
        <v>26758100</v>
      </c>
      <c r="G24" s="1551">
        <v>22629050</v>
      </c>
      <c r="H24" s="1556">
        <f>'[1]Дотация  из  ОБ_факт'!G20</f>
        <v>13584000</v>
      </c>
      <c r="I24" s="1551">
        <v>6792000</v>
      </c>
      <c r="J24" s="604">
        <f t="shared" si="2"/>
        <v>13584000</v>
      </c>
      <c r="K24" s="611">
        <f t="shared" si="3"/>
        <v>6792000</v>
      </c>
      <c r="L24" s="891">
        <f>'[1]Дотация  из  ОБ_факт'!K20</f>
        <v>0</v>
      </c>
      <c r="M24" s="782"/>
      <c r="N24" s="603">
        <f>'[1]Дотация  из  ОБ_факт'!Q20</f>
        <v>1096500</v>
      </c>
      <c r="O24" s="1054">
        <v>1096500</v>
      </c>
      <c r="P24" s="603">
        <f>'[1]Дотация  из  ОБ_факт'!S20</f>
        <v>8317700.0000000009</v>
      </c>
      <c r="Q24" s="1048">
        <v>4159550</v>
      </c>
      <c r="R24" s="611">
        <f t="shared" si="4"/>
        <v>8317700.0000000009</v>
      </c>
      <c r="S24" s="605">
        <f t="shared" si="5"/>
        <v>4159550</v>
      </c>
      <c r="T24" s="891">
        <f>'[1]Дотация  из  ОБ_факт'!W20</f>
        <v>0</v>
      </c>
      <c r="U24" s="643"/>
      <c r="V24" s="603">
        <f>'[1]Дотация  из  ОБ_факт'!AA20+'[1]Дотация  из  ОБ_факт'!AC20+'[1]Дотация  из  ОБ_факт'!AG20</f>
        <v>864405</v>
      </c>
      <c r="W24" s="465">
        <f t="shared" si="6"/>
        <v>0</v>
      </c>
      <c r="X24" s="607"/>
      <c r="Y24" s="606"/>
      <c r="Z24" s="607"/>
      <c r="AA24" s="603">
        <f>'[1]Дотация  из  ОБ_факт'!Y20+'[1]Дотация  из  ОБ_факт'!AE20</f>
        <v>2384250</v>
      </c>
      <c r="AB24" s="170">
        <f t="shared" si="7"/>
        <v>2384250</v>
      </c>
      <c r="AC24" s="606">
        <v>2384250</v>
      </c>
      <c r="AD24" s="607"/>
      <c r="AE24" s="604">
        <f t="shared" si="8"/>
        <v>2384250</v>
      </c>
      <c r="AF24" s="611">
        <f t="shared" si="9"/>
        <v>2384250</v>
      </c>
      <c r="AG24" s="604">
        <f>'[1]Дотация  из  ОБ_факт'!AE20</f>
        <v>0</v>
      </c>
      <c r="AH24" s="772"/>
      <c r="AI24" s="599">
        <f>'План и исполнение'!LQ24+'План и исполнение'!QS24+'План и исполнение'!QU24+CQ24+CS24+CY24+DA24+BS24+CA24+'План и исполнение'!JQ24+'План и исполнение'!KA24+'План и исполнение'!EC24+'План и исполнение'!LE24+DM24+'План и исполнение'!IM24+'План и исполнение'!IS24+'План и исполнение'!MM24+'План и исполнение'!MU24+IG24+'План и исполнение'!MA24+FK24+EY24+PO24+ES24+AK24+AU24+FE24+JK24+GG24+GQ24+DG24+PU24+FQ24+EI24+QA24+NY24+GA24+CM24+HU24+IA24+NS24</f>
        <v>154325349.76999998</v>
      </c>
      <c r="AJ24" s="504">
        <f>'План и исполнение'!LV24+'План и исполнение'!QT24+'План и исполнение'!QV24+CR24+CT24+CZ24+DB24+BW24+CE24+'План и исполнение'!JV24+'План и исполнение'!KF24+'План и исполнение'!EF24+'План и исполнение'!LK24+DU24+'План и исполнение'!IP24+'План и исполнение'!IV24+'План и исполнение'!MQ24+'План и исполнение'!MY24+IJ24+'План и исполнение'!ME24+FH24+FN24+FB24+PR24+EV24+AP24+AY24+JN24+GL24+GV24+DJ24+PX24+FT24+EN24+QD24+OF24+GD24+CO24+HX24+ID24+NV24</f>
        <v>56211993.950000003</v>
      </c>
      <c r="AK24" s="504">
        <f t="shared" si="10"/>
        <v>0</v>
      </c>
      <c r="AL24" s="343">
        <f>[1]Субсидия_факт!DB22</f>
        <v>0</v>
      </c>
      <c r="AM24" s="516">
        <f>[1]Субсидия_факт!FF22</f>
        <v>0</v>
      </c>
      <c r="AN24" s="514">
        <f>[1]Субсидия_факт!FR22</f>
        <v>0</v>
      </c>
      <c r="AO24" s="516">
        <f>[1]Субсидия_факт!MZ22</f>
        <v>0</v>
      </c>
      <c r="AP24" s="504">
        <f t="shared" si="11"/>
        <v>0</v>
      </c>
      <c r="AQ24" s="479"/>
      <c r="AR24" s="479"/>
      <c r="AS24" s="479"/>
      <c r="AT24" s="479"/>
      <c r="AU24" s="504">
        <f t="shared" si="12"/>
        <v>63679506.950000003</v>
      </c>
      <c r="AV24" s="469">
        <f>[1]Субсидия_факт!DD22</f>
        <v>63679506.950000003</v>
      </c>
      <c r="AW24" s="343">
        <f>[1]Субсидия_факт!FJ22</f>
        <v>0</v>
      </c>
      <c r="AX24" s="514">
        <f>[1]Субсидия_факт!NB22</f>
        <v>0</v>
      </c>
      <c r="AY24" s="504">
        <f t="shared" si="13"/>
        <v>23548313.280000001</v>
      </c>
      <c r="AZ24" s="547">
        <v>23548313.280000001</v>
      </c>
      <c r="BA24" s="547"/>
      <c r="BB24" s="548"/>
      <c r="BC24" s="697">
        <f t="shared" si="14"/>
        <v>63679506.950000003</v>
      </c>
      <c r="BD24" s="680">
        <f t="shared" si="15"/>
        <v>63679506.950000003</v>
      </c>
      <c r="BE24" s="469">
        <f t="shared" si="16"/>
        <v>0</v>
      </c>
      <c r="BF24" s="343">
        <f t="shared" si="17"/>
        <v>0</v>
      </c>
      <c r="BG24" s="697">
        <f t="shared" si="18"/>
        <v>23548313.280000001</v>
      </c>
      <c r="BH24" s="647">
        <f t="shared" si="19"/>
        <v>23548313.280000001</v>
      </c>
      <c r="BI24" s="514">
        <f t="shared" si="20"/>
        <v>0</v>
      </c>
      <c r="BJ24" s="343">
        <f t="shared" si="21"/>
        <v>0</v>
      </c>
      <c r="BK24" s="697">
        <f t="shared" si="22"/>
        <v>0</v>
      </c>
      <c r="BL24" s="469">
        <f>[1]Субсидия_факт!DF22</f>
        <v>0</v>
      </c>
      <c r="BM24" s="343">
        <f>[1]Субсидия_факт!FL22</f>
        <v>0</v>
      </c>
      <c r="BN24" s="469">
        <f>[1]Субсидия_факт!ND22</f>
        <v>0</v>
      </c>
      <c r="BO24" s="697">
        <f t="shared" si="23"/>
        <v>0</v>
      </c>
      <c r="BP24" s="548"/>
      <c r="BQ24" s="547"/>
      <c r="BR24" s="548"/>
      <c r="BS24" s="535">
        <f t="shared" si="145"/>
        <v>43366644</v>
      </c>
      <c r="BT24" s="449">
        <f>[1]Субсидия_факт!IL22</f>
        <v>3848369</v>
      </c>
      <c r="BU24" s="343">
        <f>[1]Субсидия_факт!IR22</f>
        <v>39518275</v>
      </c>
      <c r="BV24" s="529">
        <f>[1]Субсидия_факт!JD22</f>
        <v>0</v>
      </c>
      <c r="BW24" s="535">
        <f t="shared" si="146"/>
        <v>15463342.550000001</v>
      </c>
      <c r="BX24" s="547"/>
      <c r="BY24" s="547">
        <v>15463342.550000001</v>
      </c>
      <c r="BZ24" s="650"/>
      <c r="CA24" s="535">
        <f t="shared" si="147"/>
        <v>0</v>
      </c>
      <c r="CB24" s="469">
        <f>[1]Субсидия_факт!IN22</f>
        <v>0</v>
      </c>
      <c r="CC24" s="343">
        <f>[1]Субсидия_факт!IT22</f>
        <v>0</v>
      </c>
      <c r="CD24" s="529">
        <f>[1]Субсидия_факт!JF22</f>
        <v>0</v>
      </c>
      <c r="CE24" s="535">
        <f t="shared" si="148"/>
        <v>0</v>
      </c>
      <c r="CF24" s="547"/>
      <c r="CG24" s="548"/>
      <c r="CH24" s="760"/>
      <c r="CI24" s="546">
        <f t="shared" si="24"/>
        <v>0</v>
      </c>
      <c r="CJ24" s="544">
        <f t="shared" si="25"/>
        <v>0</v>
      </c>
      <c r="CK24" s="543">
        <f t="shared" si="149"/>
        <v>0</v>
      </c>
      <c r="CL24" s="546">
        <f t="shared" si="150"/>
        <v>0</v>
      </c>
      <c r="CM24" s="965">
        <f t="shared" si="151"/>
        <v>0</v>
      </c>
      <c r="CN24" s="721">
        <f>[1]Субсидия_факт!FT22</f>
        <v>0</v>
      </c>
      <c r="CO24" s="965">
        <f t="shared" si="151"/>
        <v>0</v>
      </c>
      <c r="CP24" s="721"/>
      <c r="CQ24" s="534">
        <f>[1]Субсидия_факт!FV22</f>
        <v>0</v>
      </c>
      <c r="CR24" s="644"/>
      <c r="CS24" s="535">
        <f>[1]Субсидия_факт!FX22</f>
        <v>0</v>
      </c>
      <c r="CT24" s="644"/>
      <c r="CU24" s="544">
        <f t="shared" si="26"/>
        <v>0</v>
      </c>
      <c r="CV24" s="543">
        <f t="shared" si="27"/>
        <v>0</v>
      </c>
      <c r="CW24" s="610">
        <f>[1]Субсидия_факт!FZ22</f>
        <v>0</v>
      </c>
      <c r="CX24" s="643"/>
      <c r="CY24" s="542">
        <f>[1]Субсидия_факт!GB22</f>
        <v>0</v>
      </c>
      <c r="CZ24" s="341"/>
      <c r="DA24" s="534">
        <f>[1]Субсидия_факт!GD22</f>
        <v>0</v>
      </c>
      <c r="DB24" s="644"/>
      <c r="DC24" s="544">
        <f t="shared" si="28"/>
        <v>0</v>
      </c>
      <c r="DD24" s="544">
        <f t="shared" si="29"/>
        <v>0</v>
      </c>
      <c r="DE24" s="691">
        <f>[1]Субсидия_факт!GF22</f>
        <v>0</v>
      </c>
      <c r="DF24" s="342"/>
      <c r="DG24" s="504">
        <f t="shared" si="30"/>
        <v>0</v>
      </c>
      <c r="DH24" s="529">
        <f>[1]Субсидия_факт!EV22</f>
        <v>0</v>
      </c>
      <c r="DI24" s="896">
        <f>[1]Субсидия_факт!EX22</f>
        <v>0</v>
      </c>
      <c r="DJ24" s="471">
        <f t="shared" si="31"/>
        <v>0</v>
      </c>
      <c r="DK24" s="809"/>
      <c r="DL24" s="1083"/>
      <c r="DM24" s="542">
        <f t="shared" si="32"/>
        <v>420000</v>
      </c>
      <c r="DN24" s="541">
        <f>[1]Субсидия_факт!R22</f>
        <v>420000</v>
      </c>
      <c r="DO24" s="1210">
        <f>[1]Субсидия_факт!T22</f>
        <v>0</v>
      </c>
      <c r="DP24" s="713">
        <f>[1]Субсидия_факт!V22</f>
        <v>0</v>
      </c>
      <c r="DQ24" s="673">
        <f>[1]Субсидия_факт!X22</f>
        <v>0</v>
      </c>
      <c r="DR24" s="814">
        <f>[1]Субсидия_факт!Z22</f>
        <v>0</v>
      </c>
      <c r="DS24" s="516">
        <f>[1]Субсидия_факт!AB22</f>
        <v>0</v>
      </c>
      <c r="DT24" s="673">
        <f>[1]Субсидия_факт!AD22</f>
        <v>0</v>
      </c>
      <c r="DU24" s="535">
        <f t="shared" si="33"/>
        <v>420000</v>
      </c>
      <c r="DV24" s="548">
        <v>420000</v>
      </c>
      <c r="DW24" s="547"/>
      <c r="DX24" s="717"/>
      <c r="DY24" s="547"/>
      <c r="DZ24" s="717"/>
      <c r="EA24" s="548"/>
      <c r="EB24" s="1210">
        <f t="shared" si="214"/>
        <v>0</v>
      </c>
      <c r="EC24" s="504">
        <f t="shared" si="34"/>
        <v>3309722.2199999997</v>
      </c>
      <c r="ED24" s="529">
        <f>[1]Субсидия_факт!BN22</f>
        <v>926722.22</v>
      </c>
      <c r="EE24" s="896">
        <f>[1]Субсидия_факт!BP22</f>
        <v>2383000</v>
      </c>
      <c r="EF24" s="471">
        <f t="shared" si="35"/>
        <v>0</v>
      </c>
      <c r="EG24" s="809"/>
      <c r="EH24" s="1083"/>
      <c r="EI24" s="542">
        <f t="shared" si="152"/>
        <v>0</v>
      </c>
      <c r="EJ24" s="469">
        <f>[1]Субсидия_факт!AJ22</f>
        <v>0</v>
      </c>
      <c r="EK24" s="721">
        <f>[1]Субсидия_факт!AL22</f>
        <v>0</v>
      </c>
      <c r="EL24" s="449">
        <f>[1]Субсидия_факт!AN22</f>
        <v>0</v>
      </c>
      <c r="EM24" s="721">
        <f>[1]Субсидия_факт!AP22</f>
        <v>0</v>
      </c>
      <c r="EN24" s="535">
        <f t="shared" si="153"/>
        <v>0</v>
      </c>
      <c r="EO24" s="479"/>
      <c r="EP24" s="717"/>
      <c r="EQ24" s="479"/>
      <c r="ER24" s="717"/>
      <c r="ES24" s="504">
        <f t="shared" si="36"/>
        <v>0</v>
      </c>
      <c r="ET24" s="529">
        <f>[1]Субсидия_факт!AX22</f>
        <v>0</v>
      </c>
      <c r="EU24" s="789">
        <f>[1]Субсидия_факт!AZ22</f>
        <v>0</v>
      </c>
      <c r="EV24" s="471">
        <f t="shared" si="37"/>
        <v>0</v>
      </c>
      <c r="EW24" s="809"/>
      <c r="EX24" s="708"/>
      <c r="EY24" s="504">
        <f t="shared" si="38"/>
        <v>0</v>
      </c>
      <c r="EZ24" s="529">
        <f>[1]Субсидия_факт!BZ22</f>
        <v>0</v>
      </c>
      <c r="FA24" s="896">
        <f>[1]Субсидия_факт!CB22</f>
        <v>0</v>
      </c>
      <c r="FB24" s="471">
        <f t="shared" si="39"/>
        <v>0</v>
      </c>
      <c r="FC24" s="809"/>
      <c r="FD24" s="708"/>
      <c r="FE24" s="504">
        <f t="shared" si="40"/>
        <v>0</v>
      </c>
      <c r="FF24" s="529">
        <f>[1]Субсидия_факт!BR22</f>
        <v>0</v>
      </c>
      <c r="FG24" s="896">
        <f>[1]Субсидия_факт!BT22</f>
        <v>0</v>
      </c>
      <c r="FH24" s="471">
        <f t="shared" si="41"/>
        <v>0</v>
      </c>
      <c r="FI24" s="809"/>
      <c r="FJ24" s="708"/>
      <c r="FK24" s="504">
        <f t="shared" si="42"/>
        <v>0</v>
      </c>
      <c r="FL24" s="529">
        <f>[1]Субсидия_факт!KJ22</f>
        <v>0</v>
      </c>
      <c r="FM24" s="896">
        <f>[1]Субсидия_факт!KL22</f>
        <v>0</v>
      </c>
      <c r="FN24" s="471">
        <f t="shared" si="43"/>
        <v>0</v>
      </c>
      <c r="FO24" s="809"/>
      <c r="FP24" s="708"/>
      <c r="FQ24" s="504">
        <f t="shared" si="44"/>
        <v>0</v>
      </c>
      <c r="FR24" s="529">
        <f>[1]Субсидия_факт!KN22</f>
        <v>0</v>
      </c>
      <c r="FS24" s="896">
        <f>[1]Субсидия_факт!KR22</f>
        <v>0</v>
      </c>
      <c r="FT24" s="471">
        <f t="shared" si="45"/>
        <v>0</v>
      </c>
      <c r="FU24" s="809"/>
      <c r="FV24" s="708"/>
      <c r="FW24" s="695">
        <f t="shared" si="154"/>
        <v>0</v>
      </c>
      <c r="FX24" s="697">
        <f t="shared" si="155"/>
        <v>0</v>
      </c>
      <c r="FY24" s="695">
        <f t="shared" si="156"/>
        <v>0</v>
      </c>
      <c r="FZ24" s="697">
        <f t="shared" si="157"/>
        <v>0</v>
      </c>
      <c r="GA24" s="504">
        <f t="shared" si="158"/>
        <v>0</v>
      </c>
      <c r="GB24" s="1374">
        <f>[1]Субсидия_факт!BJ22</f>
        <v>0</v>
      </c>
      <c r="GC24" s="706">
        <f>[1]Субсидия_факт!BL22</f>
        <v>0</v>
      </c>
      <c r="GD24" s="504">
        <f t="shared" si="159"/>
        <v>0</v>
      </c>
      <c r="GE24" s="760"/>
      <c r="GF24" s="708"/>
      <c r="GG24" s="504">
        <f t="shared" si="46"/>
        <v>0</v>
      </c>
      <c r="GH24" s="760"/>
      <c r="GI24" s="708"/>
      <c r="GJ24" s="529"/>
      <c r="GK24" s="896"/>
      <c r="GL24" s="471">
        <f t="shared" si="47"/>
        <v>0</v>
      </c>
      <c r="GM24" s="760"/>
      <c r="GN24" s="708"/>
      <c r="GO24" s="760"/>
      <c r="GP24" s="708"/>
      <c r="GQ24" s="471">
        <f t="shared" si="160"/>
        <v>0</v>
      </c>
      <c r="GR24" s="1374">
        <f>[1]Субсидия_факт!GJ22</f>
        <v>0</v>
      </c>
      <c r="GS24" s="706">
        <f>[1]Субсидия_факт!GN22</f>
        <v>0</v>
      </c>
      <c r="GT24" s="529">
        <f>[1]Субсидия_факт!GX22</f>
        <v>0</v>
      </c>
      <c r="GU24" s="896">
        <f>[1]Субсидия_факт!HB22</f>
        <v>0</v>
      </c>
      <c r="GV24" s="471">
        <f t="shared" si="161"/>
        <v>0</v>
      </c>
      <c r="GW24" s="760"/>
      <c r="GX24" s="708"/>
      <c r="GY24" s="760"/>
      <c r="GZ24" s="708"/>
      <c r="HA24" s="695">
        <f t="shared" si="162"/>
        <v>0</v>
      </c>
      <c r="HB24" s="1374">
        <f t="shared" si="48"/>
        <v>0</v>
      </c>
      <c r="HC24" s="1375">
        <f t="shared" si="49"/>
        <v>0</v>
      </c>
      <c r="HD24" s="529">
        <f t="shared" si="50"/>
        <v>0</v>
      </c>
      <c r="HE24" s="896">
        <f t="shared" si="51"/>
        <v>0</v>
      </c>
      <c r="HF24" s="695">
        <f t="shared" si="163"/>
        <v>0</v>
      </c>
      <c r="HG24" s="1374">
        <f t="shared" si="52"/>
        <v>0</v>
      </c>
      <c r="HH24" s="1375">
        <f t="shared" si="53"/>
        <v>0</v>
      </c>
      <c r="HI24" s="529">
        <f t="shared" si="54"/>
        <v>0</v>
      </c>
      <c r="HJ24" s="896">
        <f t="shared" si="55"/>
        <v>0</v>
      </c>
      <c r="HK24" s="695">
        <f t="shared" si="164"/>
        <v>0</v>
      </c>
      <c r="HL24" s="1374">
        <f>[1]Субсидия_факт!GL22</f>
        <v>0</v>
      </c>
      <c r="HM24" s="706">
        <f>[1]Субсидия_факт!GP22</f>
        <v>0</v>
      </c>
      <c r="HN24" s="529">
        <f>[1]Субсидия_факт!GZ22</f>
        <v>0</v>
      </c>
      <c r="HO24" s="896">
        <f>[1]Субсидия_факт!HD22</f>
        <v>0</v>
      </c>
      <c r="HP24" s="695">
        <f t="shared" si="165"/>
        <v>0</v>
      </c>
      <c r="HQ24" s="760"/>
      <c r="HR24" s="708"/>
      <c r="HS24" s="760"/>
      <c r="HT24" s="708"/>
      <c r="HU24" s="542">
        <f t="shared" si="56"/>
        <v>0</v>
      </c>
      <c r="HV24" s="531">
        <f>[1]Субсидия_факт!N22</f>
        <v>0</v>
      </c>
      <c r="HW24" s="789">
        <f>[1]Субсидия_факт!P22</f>
        <v>0</v>
      </c>
      <c r="HX24" s="535">
        <f t="shared" si="57"/>
        <v>0</v>
      </c>
      <c r="HY24" s="547"/>
      <c r="HZ24" s="739"/>
      <c r="IA24" s="542">
        <f t="shared" si="58"/>
        <v>0</v>
      </c>
      <c r="IB24" s="541">
        <f>[1]Субсидия_факт!DZ22</f>
        <v>0</v>
      </c>
      <c r="IC24" s="721">
        <f>[1]Субсидия_факт!EB22</f>
        <v>0</v>
      </c>
      <c r="ID24" s="534">
        <f t="shared" si="59"/>
        <v>0</v>
      </c>
      <c r="IE24" s="547"/>
      <c r="IF24" s="739"/>
      <c r="IG24" s="542">
        <f t="shared" si="166"/>
        <v>0</v>
      </c>
      <c r="IH24" s="531">
        <f>[1]Субсидия_факт!EP22</f>
        <v>0</v>
      </c>
      <c r="II24" s="789">
        <f>[1]Субсидия_факт!ER22</f>
        <v>0</v>
      </c>
      <c r="IJ24" s="535">
        <f t="shared" si="167"/>
        <v>0</v>
      </c>
      <c r="IK24" s="547"/>
      <c r="IL24" s="739"/>
      <c r="IM24" s="599">
        <f t="shared" si="62"/>
        <v>0</v>
      </c>
      <c r="IN24" s="529">
        <f>[1]Субсидия_факт!ED22</f>
        <v>0</v>
      </c>
      <c r="IO24" s="896">
        <f>[1]Субсидия_факт!EJ22</f>
        <v>0</v>
      </c>
      <c r="IP24" s="471">
        <f t="shared" si="63"/>
        <v>0</v>
      </c>
      <c r="IQ24" s="760"/>
      <c r="IR24" s="708"/>
      <c r="IS24" s="471">
        <f t="shared" si="64"/>
        <v>587459.14</v>
      </c>
      <c r="IT24" s="529">
        <f>[1]Субсидия_факт!EF22</f>
        <v>164489.37</v>
      </c>
      <c r="IU24" s="789">
        <f>[1]Субсидия_факт!EL22</f>
        <v>422969.77</v>
      </c>
      <c r="IV24" s="471">
        <f t="shared" si="65"/>
        <v>587459.14</v>
      </c>
      <c r="IW24" s="650">
        <v>164489.37</v>
      </c>
      <c r="IX24" s="742">
        <v>422969.77</v>
      </c>
      <c r="IY24" s="697">
        <f t="shared" si="66"/>
        <v>587459.14</v>
      </c>
      <c r="IZ24" s="787">
        <f>'План и исполнение'!IT24-'План и исполнение'!JF24</f>
        <v>164489.37</v>
      </c>
      <c r="JA24" s="706">
        <f>'План и исполнение'!IU24-'План и исполнение'!JG24</f>
        <v>422969.77</v>
      </c>
      <c r="JB24" s="691">
        <f t="shared" si="67"/>
        <v>587459.14</v>
      </c>
      <c r="JC24" s="793">
        <f>'План и исполнение'!IW24-'План и исполнение'!JI24</f>
        <v>164489.37</v>
      </c>
      <c r="JD24" s="804">
        <f>'План и исполнение'!IX24-'План и исполнение'!JJ24</f>
        <v>422969.77</v>
      </c>
      <c r="JE24" s="697">
        <f t="shared" si="68"/>
        <v>0</v>
      </c>
      <c r="JF24" s="529">
        <f>[1]Субсидия_факт!EH22</f>
        <v>0</v>
      </c>
      <c r="JG24" s="896">
        <f>[1]Субсидия_факт!EN22</f>
        <v>0</v>
      </c>
      <c r="JH24" s="697">
        <f t="shared" si="69"/>
        <v>0</v>
      </c>
      <c r="JI24" s="529"/>
      <c r="JJ24" s="789"/>
      <c r="JK24" s="471">
        <f t="shared" si="70"/>
        <v>0</v>
      </c>
      <c r="JL24" s="793">
        <f>[1]Субсидия_факт!AR22</f>
        <v>0</v>
      </c>
      <c r="JM24" s="706">
        <f>[1]Субсидия_факт!AT22</f>
        <v>0</v>
      </c>
      <c r="JN24" s="471">
        <f t="shared" si="71"/>
        <v>0</v>
      </c>
      <c r="JO24" s="650"/>
      <c r="JP24" s="708"/>
      <c r="JQ24" s="785">
        <f t="shared" si="72"/>
        <v>0</v>
      </c>
      <c r="JR24" s="793">
        <f>[1]Субсидия_факт!CJ22</f>
        <v>0</v>
      </c>
      <c r="JS24" s="706">
        <f>[1]Субсидия_факт!CP22</f>
        <v>0</v>
      </c>
      <c r="JT24" s="529">
        <f>[1]Субсидия_факт!DN22</f>
        <v>0</v>
      </c>
      <c r="JU24" s="896">
        <f>[1]Субсидия_факт!DT22</f>
        <v>0</v>
      </c>
      <c r="JV24" s="471">
        <f t="shared" si="73"/>
        <v>0</v>
      </c>
      <c r="JW24" s="650"/>
      <c r="JX24" s="708"/>
      <c r="JY24" s="650"/>
      <c r="JZ24" s="892"/>
      <c r="KA24" s="785">
        <f t="shared" si="74"/>
        <v>0</v>
      </c>
      <c r="KB24" s="793">
        <f>[1]Субсидия_факт!CL22</f>
        <v>0</v>
      </c>
      <c r="KC24" s="706">
        <f>[1]Субсидия_факт!CR22</f>
        <v>0</v>
      </c>
      <c r="KD24" s="529">
        <f>[1]Субсидия_факт!DP22</f>
        <v>0</v>
      </c>
      <c r="KE24" s="896">
        <f>[1]Субсидия_факт!DV22</f>
        <v>0</v>
      </c>
      <c r="KF24" s="471">
        <f t="shared" si="75"/>
        <v>0</v>
      </c>
      <c r="KG24" s="650"/>
      <c r="KH24" s="708"/>
      <c r="KI24" s="809"/>
      <c r="KJ24" s="708"/>
      <c r="KK24" s="788">
        <f t="shared" si="76"/>
        <v>0</v>
      </c>
      <c r="KL24" s="793">
        <f>'План и исполнение'!KB24-KV24</f>
        <v>0</v>
      </c>
      <c r="KM24" s="706">
        <f>'План и исполнение'!KC24-KW24</f>
        <v>0</v>
      </c>
      <c r="KN24" s="787">
        <f>'План и исполнение'!KD24-KX24</f>
        <v>0</v>
      </c>
      <c r="KO24" s="706">
        <f>'План и исполнение'!KE24-KY24</f>
        <v>0</v>
      </c>
      <c r="KP24" s="788">
        <f t="shared" si="77"/>
        <v>0</v>
      </c>
      <c r="KQ24" s="793">
        <f>'План и исполнение'!KG24-LA24</f>
        <v>0</v>
      </c>
      <c r="KR24" s="830">
        <f>'План и исполнение'!KH24-LB24</f>
        <v>0</v>
      </c>
      <c r="KS24" s="793">
        <f>'План и исполнение'!KI24-LC24</f>
        <v>0</v>
      </c>
      <c r="KT24" s="804">
        <f>'План и исполнение'!KJ24-LD24</f>
        <v>0</v>
      </c>
      <c r="KU24" s="697">
        <f t="shared" si="78"/>
        <v>0</v>
      </c>
      <c r="KV24" s="793">
        <f>[1]Субсидия_факт!CN22</f>
        <v>0</v>
      </c>
      <c r="KW24" s="706">
        <f>[1]Субсидия_факт!CT22</f>
        <v>0</v>
      </c>
      <c r="KX24" s="529">
        <f>[1]Субсидия_факт!DR22</f>
        <v>0</v>
      </c>
      <c r="KY24" s="896">
        <f>[1]Субсидия_факт!DX22</f>
        <v>0</v>
      </c>
      <c r="KZ24" s="697">
        <f t="shared" si="79"/>
        <v>0</v>
      </c>
      <c r="LA24" s="650"/>
      <c r="LB24" s="708"/>
      <c r="LC24" s="531"/>
      <c r="LD24" s="1639"/>
      <c r="LE24" s="504">
        <f t="shared" si="168"/>
        <v>0</v>
      </c>
      <c r="LF24" s="529">
        <f>[1]Субсидия_факт!CD22</f>
        <v>0</v>
      </c>
      <c r="LG24" s="789">
        <f>[1]Субсидия_факт!CF22</f>
        <v>0</v>
      </c>
      <c r="LH24" s="529">
        <f>[1]Субсидия_факт!BV22</f>
        <v>0</v>
      </c>
      <c r="LI24" s="789">
        <f>[1]Субсидия_факт!BX22</f>
        <v>0</v>
      </c>
      <c r="LJ24" s="529">
        <f>[1]Субсидия_факт!CH22</f>
        <v>0</v>
      </c>
      <c r="LK24" s="471">
        <f t="shared" si="169"/>
        <v>0</v>
      </c>
      <c r="LL24" s="650"/>
      <c r="LM24" s="708"/>
      <c r="LN24" s="650"/>
      <c r="LO24" s="708"/>
      <c r="LP24" s="650"/>
      <c r="LQ24" s="504">
        <f t="shared" si="80"/>
        <v>0</v>
      </c>
      <c r="LR24" s="516">
        <f>[1]Субсидия_факт!HN22</f>
        <v>0</v>
      </c>
      <c r="LS24" s="529">
        <f>[1]Субсидия_факт!HL22</f>
        <v>0</v>
      </c>
      <c r="LT24" s="541">
        <f>[1]Субсидия_факт!HV22</f>
        <v>0</v>
      </c>
      <c r="LU24" s="721">
        <f>[1]Субсидия_факт!HX22</f>
        <v>0</v>
      </c>
      <c r="LV24" s="471">
        <f t="shared" si="81"/>
        <v>0</v>
      </c>
      <c r="LW24" s="344"/>
      <c r="LX24" s="650"/>
      <c r="LY24" s="479"/>
      <c r="LZ24" s="717"/>
      <c r="MA24" s="471">
        <f t="shared" si="82"/>
        <v>0</v>
      </c>
      <c r="MB24" s="531">
        <f>[1]Субсидия_факт!HT22</f>
        <v>0</v>
      </c>
      <c r="MC24" s="531">
        <f>[1]Субсидия_факт!HP22</f>
        <v>0</v>
      </c>
      <c r="MD24" s="789">
        <f>[1]Субсидия_факт!HR22</f>
        <v>0</v>
      </c>
      <c r="ME24" s="471">
        <f t="shared" si="83"/>
        <v>0</v>
      </c>
      <c r="MF24" s="793">
        <f t="shared" si="170"/>
        <v>0</v>
      </c>
      <c r="MG24" s="650"/>
      <c r="MH24" s="708"/>
      <c r="MI24" s="893">
        <f t="shared" si="84"/>
        <v>0</v>
      </c>
      <c r="MJ24" s="893">
        <f t="shared" si="85"/>
        <v>0</v>
      </c>
      <c r="MK24" s="695">
        <f t="shared" si="86"/>
        <v>0</v>
      </c>
      <c r="ML24" s="1028">
        <f t="shared" si="87"/>
        <v>0</v>
      </c>
      <c r="MM24" s="791">
        <f t="shared" si="216"/>
        <v>0</v>
      </c>
      <c r="MN24" s="529">
        <f>[1]Субсидия_факт!LH22</f>
        <v>0</v>
      </c>
      <c r="MO24" s="896">
        <f>[1]Субсидия_факт!LN22</f>
        <v>0</v>
      </c>
      <c r="MP24" s="531"/>
      <c r="MQ24" s="791">
        <f t="shared" si="171"/>
        <v>0</v>
      </c>
      <c r="MR24" s="809"/>
      <c r="MS24" s="708"/>
      <c r="MT24" s="531"/>
      <c r="MU24" s="791">
        <f t="shared" si="172"/>
        <v>10400000</v>
      </c>
      <c r="MV24" s="529">
        <f>[1]Субсидия_факт!LJ22</f>
        <v>0</v>
      </c>
      <c r="MW24" s="896">
        <f>[1]Субсидия_факт!LP22</f>
        <v>0</v>
      </c>
      <c r="MX24" s="531">
        <f>[1]Субсидия_факт!LT22</f>
        <v>10400000</v>
      </c>
      <c r="MY24" s="791">
        <f t="shared" si="173"/>
        <v>9460567.2799999993</v>
      </c>
      <c r="MZ24" s="650"/>
      <c r="NA24" s="808"/>
      <c r="NB24" s="650">
        <v>9460567.2799999993</v>
      </c>
      <c r="NC24" s="792">
        <f t="shared" si="175"/>
        <v>10400000</v>
      </c>
      <c r="ND24" s="680">
        <f>'План и исполнение'!MV24-NL24</f>
        <v>0</v>
      </c>
      <c r="NE24" s="713">
        <f>'План и исполнение'!MW24-NM24</f>
        <v>0</v>
      </c>
      <c r="NF24" s="647">
        <f>'План и исполнение'!MX24-NN24</f>
        <v>10400000</v>
      </c>
      <c r="NG24" s="792">
        <f t="shared" si="176"/>
        <v>9460567.2799999993</v>
      </c>
      <c r="NH24" s="787">
        <f>'План и исполнение'!MZ24-NP24</f>
        <v>0</v>
      </c>
      <c r="NI24" s="706">
        <f>'План и исполнение'!NA24-NQ24</f>
        <v>0</v>
      </c>
      <c r="NJ24" s="793">
        <f>'План и исполнение'!NB24-NR24</f>
        <v>9460567.2799999993</v>
      </c>
      <c r="NK24" s="792">
        <f t="shared" si="177"/>
        <v>0</v>
      </c>
      <c r="NL24" s="529">
        <f>[1]Субсидия_факт!LL22</f>
        <v>0</v>
      </c>
      <c r="NM24" s="896">
        <f>[1]Субсидия_факт!LR22</f>
        <v>0</v>
      </c>
      <c r="NN24" s="529">
        <f>[1]Субсидия_факт!LV22</f>
        <v>0</v>
      </c>
      <c r="NO24" s="792">
        <f t="shared" si="178"/>
        <v>0</v>
      </c>
      <c r="NP24" s="787">
        <f t="shared" si="179"/>
        <v>0</v>
      </c>
      <c r="NQ24" s="706">
        <f t="shared" si="180"/>
        <v>0</v>
      </c>
      <c r="NR24" s="529">
        <f t="shared" si="215"/>
        <v>0</v>
      </c>
      <c r="NS24" s="535">
        <f t="shared" si="181"/>
        <v>0</v>
      </c>
      <c r="NT24" s="1285">
        <f>[1]Субсидия_факт!NF22</f>
        <v>0</v>
      </c>
      <c r="NU24" s="713">
        <f>[1]Субсидия_факт!NH22</f>
        <v>0</v>
      </c>
      <c r="NV24" s="535">
        <f t="shared" si="182"/>
        <v>0</v>
      </c>
      <c r="NW24" s="344"/>
      <c r="NX24" s="739"/>
      <c r="NY24" s="535">
        <f t="shared" si="183"/>
        <v>5737217.8200000003</v>
      </c>
      <c r="NZ24" s="1194">
        <f>[1]Субсидия_факт!LX22</f>
        <v>0</v>
      </c>
      <c r="OA24" s="1295">
        <f>[1]Субсидия_факт!MB22</f>
        <v>0</v>
      </c>
      <c r="OB24" s="1194">
        <f>[1]Субсидия_факт!MF22</f>
        <v>1606420.99</v>
      </c>
      <c r="OC24" s="713">
        <f>[1]Субсидия_факт!MJ22</f>
        <v>4130796.83</v>
      </c>
      <c r="OD24" s="1285">
        <f>[1]Субсидия_факт!NJ22</f>
        <v>0</v>
      </c>
      <c r="OE24" s="713">
        <f>[1]Субсидия_факт!NN22</f>
        <v>0</v>
      </c>
      <c r="OF24" s="535">
        <f t="shared" si="184"/>
        <v>0</v>
      </c>
      <c r="OG24" s="493"/>
      <c r="OH24" s="746"/>
      <c r="OI24" s="344"/>
      <c r="OJ24" s="739"/>
      <c r="OK24" s="493"/>
      <c r="OL24" s="746"/>
      <c r="OM24" s="610">
        <f t="shared" si="185"/>
        <v>5737217.8200000003</v>
      </c>
      <c r="ON24" s="1194">
        <f t="shared" si="88"/>
        <v>0</v>
      </c>
      <c r="OO24" s="713">
        <f t="shared" si="89"/>
        <v>0</v>
      </c>
      <c r="OP24" s="493">
        <f t="shared" si="90"/>
        <v>1606420.99</v>
      </c>
      <c r="OQ24" s="713">
        <f t="shared" si="91"/>
        <v>4130796.83</v>
      </c>
      <c r="OR24" s="1285">
        <f t="shared" si="92"/>
        <v>0</v>
      </c>
      <c r="OS24" s="713">
        <f t="shared" si="93"/>
        <v>0</v>
      </c>
      <c r="OT24" s="610">
        <f t="shared" si="186"/>
        <v>0</v>
      </c>
      <c r="OU24" s="1194">
        <f t="shared" si="94"/>
        <v>0</v>
      </c>
      <c r="OV24" s="713">
        <f t="shared" si="95"/>
        <v>0</v>
      </c>
      <c r="OW24" s="493">
        <f t="shared" si="96"/>
        <v>0</v>
      </c>
      <c r="OX24" s="713">
        <f t="shared" si="97"/>
        <v>0</v>
      </c>
      <c r="OY24" s="1285">
        <f t="shared" si="98"/>
        <v>0</v>
      </c>
      <c r="OZ24" s="713">
        <f t="shared" si="99"/>
        <v>0</v>
      </c>
      <c r="PA24" s="610">
        <f t="shared" si="187"/>
        <v>0</v>
      </c>
      <c r="PB24" s="1194">
        <f>[1]Субсидия_факт!LZ22</f>
        <v>0</v>
      </c>
      <c r="PC24" s="1295">
        <f>[1]Субсидия_факт!MD22</f>
        <v>0</v>
      </c>
      <c r="PD24" s="1194">
        <f>[1]Субсидия_факт!MH22</f>
        <v>0</v>
      </c>
      <c r="PE24" s="713">
        <f>[1]Субсидия_факт!ML22</f>
        <v>0</v>
      </c>
      <c r="PF24" s="991">
        <f>[1]Субсидия_факт!NL22</f>
        <v>0</v>
      </c>
      <c r="PG24" s="801">
        <f>[1]Субсидия_факт!NP22</f>
        <v>0</v>
      </c>
      <c r="PH24" s="610">
        <f t="shared" si="188"/>
        <v>0</v>
      </c>
      <c r="PI24" s="991"/>
      <c r="PJ24" s="746"/>
      <c r="PK24" s="493"/>
      <c r="PL24" s="746"/>
      <c r="PM24" s="493"/>
      <c r="PN24" s="746"/>
      <c r="PO24" s="504">
        <f t="shared" si="100"/>
        <v>0</v>
      </c>
      <c r="PP24" s="529">
        <f>[1]Субсидия_факт!AF22</f>
        <v>0</v>
      </c>
      <c r="PQ24" s="896">
        <f>[1]Субсидия_факт!AH22</f>
        <v>0</v>
      </c>
      <c r="PR24" s="471">
        <f t="shared" si="101"/>
        <v>0</v>
      </c>
      <c r="PS24" s="809"/>
      <c r="PT24" s="708"/>
      <c r="PU24" s="535">
        <f t="shared" si="102"/>
        <v>0</v>
      </c>
      <c r="PV24" s="673">
        <f>[1]Субсидия_факт!MN22</f>
        <v>0</v>
      </c>
      <c r="PW24" s="814">
        <f>[1]Субсидия_факт!MP22</f>
        <v>0</v>
      </c>
      <c r="PX24" s="535">
        <f t="shared" si="103"/>
        <v>0</v>
      </c>
      <c r="PY24" s="1377"/>
      <c r="PZ24" s="717"/>
      <c r="QA24" s="535">
        <f t="shared" si="104"/>
        <v>0</v>
      </c>
      <c r="QB24" s="1194">
        <f>[1]Субсидия_факт!MR22</f>
        <v>0</v>
      </c>
      <c r="QC24" s="713">
        <f>[1]Субсидия_факт!MV22</f>
        <v>0</v>
      </c>
      <c r="QD24" s="535">
        <f t="shared" si="105"/>
        <v>0</v>
      </c>
      <c r="QE24" s="479"/>
      <c r="QF24" s="717"/>
      <c r="QG24" s="610">
        <f t="shared" si="106"/>
        <v>0</v>
      </c>
      <c r="QH24" s="1194">
        <f t="shared" si="107"/>
        <v>0</v>
      </c>
      <c r="QI24" s="713">
        <f t="shared" si="108"/>
        <v>0</v>
      </c>
      <c r="QJ24" s="610">
        <f t="shared" si="109"/>
        <v>0</v>
      </c>
      <c r="QK24" s="1194">
        <f t="shared" si="110"/>
        <v>0</v>
      </c>
      <c r="QL24" s="713">
        <f t="shared" si="111"/>
        <v>0</v>
      </c>
      <c r="QM24" s="610">
        <f t="shared" si="112"/>
        <v>0</v>
      </c>
      <c r="QN24" s="1210">
        <f>[1]Субсидия_факт!MT22</f>
        <v>0</v>
      </c>
      <c r="QO24" s="713">
        <f>[1]Субсидия_факт!MX22</f>
        <v>0</v>
      </c>
      <c r="QP24" s="610">
        <f t="shared" si="113"/>
        <v>0</v>
      </c>
      <c r="QQ24" s="479"/>
      <c r="QR24" s="717"/>
      <c r="QS24" s="535">
        <f>'Прочая  субсидия_МР  и  ГО'!B20</f>
        <v>6986432.7799999993</v>
      </c>
      <c r="QT24" s="535">
        <f>'Прочая  субсидия_МР  и  ГО'!C20</f>
        <v>5664811.8300000001</v>
      </c>
      <c r="QU24" s="540">
        <f>'Прочая  субсидия_БП'!B20</f>
        <v>19838366.859999999</v>
      </c>
      <c r="QV24" s="542">
        <f>'Прочая  субсидия_БП'!C20</f>
        <v>1067499.8700000001</v>
      </c>
      <c r="QW24" s="605">
        <f>'Прочая  субсидия_БП'!D20</f>
        <v>19838366.859999999</v>
      </c>
      <c r="QX24" s="604">
        <f>'Прочая  субсидия_БП'!E20</f>
        <v>1067499.8700000001</v>
      </c>
      <c r="QY24" s="611">
        <f>'Прочая  субсидия_БП'!F20</f>
        <v>0</v>
      </c>
      <c r="QZ24" s="605">
        <f>'Прочая  субсидия_БП'!G20</f>
        <v>0</v>
      </c>
      <c r="RA24" s="542">
        <f t="shared" si="189"/>
        <v>581073025</v>
      </c>
      <c r="RB24" s="469">
        <f>'План и исполнение'!RZ24+'План и исполнение'!RG24+'План и исполнение'!RI24+'План и исполнение'!RK24</f>
        <v>576148125</v>
      </c>
      <c r="RC24" s="343">
        <f>'План и исполнение'!SB24+'План и исполнение'!RM24+'План и исполнение'!RS24+'План и исполнение'!RO24+'План и исполнение'!RQ24+RU24+RW24+SA24</f>
        <v>4924900</v>
      </c>
      <c r="RD24" s="534">
        <f t="shared" si="190"/>
        <v>373391616.79000002</v>
      </c>
      <c r="RE24" s="541">
        <f>'План и исполнение'!SD24+'План и исполнение'!RH24+'План и исполнение'!RJ24+'План и исполнение'!RL24</f>
        <v>370934675</v>
      </c>
      <c r="RF24" s="343">
        <f>'План и исполнение'!SF24+'План и исполнение'!RN24+'План и исполнение'!RT24+'План и исполнение'!RP24+'План и исполнение'!RR24+RV24+RX24+SE24</f>
        <v>2456941.79</v>
      </c>
      <c r="RG24" s="599">
        <f>'Субвенция  на  полномочия'!B20</f>
        <v>551455425</v>
      </c>
      <c r="RH24" s="471">
        <f>'Субвенция  на  полномочия'!C20</f>
        <v>359976675</v>
      </c>
      <c r="RI24" s="768">
        <f>[1]Субвенция_факт!P21*1000</f>
        <v>17977900</v>
      </c>
      <c r="RJ24" s="771">
        <v>8000000</v>
      </c>
      <c r="RK24" s="768">
        <f>[1]Субвенция_факт!K21*1000</f>
        <v>5720400.0000000009</v>
      </c>
      <c r="RL24" s="771">
        <v>2370000</v>
      </c>
      <c r="RM24" s="768">
        <f>[1]Субвенция_факт!AF21*1000</f>
        <v>2949900</v>
      </c>
      <c r="RN24" s="771">
        <v>1193878.8799999999</v>
      </c>
      <c r="RO24" s="768">
        <f>[1]Субвенция_факт!AG21*1000</f>
        <v>7000</v>
      </c>
      <c r="RP24" s="771">
        <v>0</v>
      </c>
      <c r="RQ24" s="768">
        <f>[1]Субвенция_факт!E21*1000</f>
        <v>0</v>
      </c>
      <c r="RR24" s="771"/>
      <c r="RS24" s="768">
        <f>[1]Субвенция_факт!F21*1000</f>
        <v>0</v>
      </c>
      <c r="RT24" s="877"/>
      <c r="RU24" s="168">
        <f>[1]Субвенция_факт!G21*1000</f>
        <v>0</v>
      </c>
      <c r="RV24" s="1241"/>
      <c r="RW24" s="168">
        <f>[1]Субвенция_факт!H21*1000</f>
        <v>0</v>
      </c>
      <c r="RX24" s="878"/>
      <c r="RY24" s="504">
        <f t="shared" si="191"/>
        <v>2962400</v>
      </c>
      <c r="RZ24" s="887">
        <f>[1]Субвенция_факт!AE21*1000</f>
        <v>994400</v>
      </c>
      <c r="SA24" s="882">
        <f>[1]Субвенция_факт!AD21*1000</f>
        <v>0</v>
      </c>
      <c r="SB24" s="1158">
        <f>[1]Субвенция_факт!AC21*1000</f>
        <v>1968000</v>
      </c>
      <c r="SC24" s="535">
        <f t="shared" si="116"/>
        <v>1851062.91</v>
      </c>
      <c r="SD24" s="974">
        <v>588000</v>
      </c>
      <c r="SE24" s="1645"/>
      <c r="SF24" s="1652">
        <v>1263062.9099999999</v>
      </c>
      <c r="SG24" s="279">
        <f>'План и исполнение'!VI24+'План и исполнение'!VA24+'План и исполнение'!TA24+'План и исполнение'!TE24+UO24+UU24+SO24+SS24+TM24+TQ24+UE24+SI24+TY24</f>
        <v>0</v>
      </c>
      <c r="SH24" s="168">
        <f>'План и исполнение'!VK24+'План и исполнение'!VE24+'План и исполнение'!TC24+'План и исполнение'!TG24+UR24+UX24+SQ24+SU24+TO24+TS24+UH24+SL24+UB24</f>
        <v>0</v>
      </c>
      <c r="SI24" s="540">
        <f t="shared" si="117"/>
        <v>0</v>
      </c>
      <c r="SJ24" s="887">
        <f>'[1]Иные межбюджетные трансферты'!E22</f>
        <v>0</v>
      </c>
      <c r="SK24" s="945">
        <f>'[1]Иные межбюджетные трансферты'!G22</f>
        <v>0</v>
      </c>
      <c r="SL24" s="535">
        <f t="shared" si="118"/>
        <v>0</v>
      </c>
      <c r="SM24" s="1323"/>
      <c r="SN24" s="1464"/>
      <c r="SO24" s="1335">
        <f t="shared" si="192"/>
        <v>0</v>
      </c>
      <c r="SP24" s="1115">
        <f>'[1]Иные межбюджетные трансферты'!W22</f>
        <v>0</v>
      </c>
      <c r="SQ24" s="1333">
        <f t="shared" si="193"/>
        <v>0</v>
      </c>
      <c r="SR24" s="1334"/>
      <c r="SS24" s="1336">
        <f t="shared" si="194"/>
        <v>0</v>
      </c>
      <c r="ST24" s="1115">
        <f>'[1]Иные межбюджетные трансферты'!Y22</f>
        <v>0</v>
      </c>
      <c r="SU24" s="1344">
        <f t="shared" si="195"/>
        <v>0</v>
      </c>
      <c r="SV24" s="1334"/>
      <c r="SW24" s="1336">
        <f t="shared" si="196"/>
        <v>0</v>
      </c>
      <c r="SX24" s="1344">
        <f t="shared" si="197"/>
        <v>0</v>
      </c>
      <c r="SY24" s="1355">
        <f t="shared" si="198"/>
        <v>0</v>
      </c>
      <c r="SZ24" s="1344">
        <f t="shared" si="199"/>
        <v>0</v>
      </c>
      <c r="TA24" s="1350">
        <f t="shared" si="119"/>
        <v>0</v>
      </c>
      <c r="TB24" s="1115">
        <f>'[1]Иные межбюджетные трансферты'!AC22</f>
        <v>0</v>
      </c>
      <c r="TC24" s="965">
        <f t="shared" si="120"/>
        <v>0</v>
      </c>
      <c r="TD24" s="945"/>
      <c r="TE24" s="971">
        <f t="shared" si="121"/>
        <v>0</v>
      </c>
      <c r="TF24" s="1115">
        <f>'[1]Иные межбюджетные трансферты'!AE22</f>
        <v>0</v>
      </c>
      <c r="TG24" s="965">
        <f t="shared" si="122"/>
        <v>0</v>
      </c>
      <c r="TH24" s="1214"/>
      <c r="TI24" s="968">
        <f t="shared" si="123"/>
        <v>0</v>
      </c>
      <c r="TJ24" s="962">
        <f t="shared" si="124"/>
        <v>0</v>
      </c>
      <c r="TK24" s="1219">
        <f t="shared" si="200"/>
        <v>0</v>
      </c>
      <c r="TL24" s="962">
        <f t="shared" si="201"/>
        <v>0</v>
      </c>
      <c r="TM24" s="971">
        <f t="shared" si="125"/>
        <v>0</v>
      </c>
      <c r="TN24" s="1115">
        <f>'[1]Иные межбюджетные трансферты'!AI22</f>
        <v>0</v>
      </c>
      <c r="TO24" s="965">
        <f t="shared" si="126"/>
        <v>0</v>
      </c>
      <c r="TP24" s="945"/>
      <c r="TQ24" s="971">
        <f t="shared" si="127"/>
        <v>0</v>
      </c>
      <c r="TR24" s="1115">
        <f>'[1]Иные межбюджетные трансферты'!AK22</f>
        <v>0</v>
      </c>
      <c r="TS24" s="965">
        <f t="shared" si="128"/>
        <v>0</v>
      </c>
      <c r="TT24" s="1214"/>
      <c r="TU24" s="968">
        <f t="shared" si="129"/>
        <v>0</v>
      </c>
      <c r="TV24" s="962">
        <f t="shared" si="130"/>
        <v>0</v>
      </c>
      <c r="TW24" s="1219">
        <f t="shared" si="202"/>
        <v>0</v>
      </c>
      <c r="TX24" s="968">
        <f t="shared" si="203"/>
        <v>0</v>
      </c>
      <c r="TY24" s="971">
        <f t="shared" si="204"/>
        <v>0</v>
      </c>
      <c r="TZ24" s="1210"/>
      <c r="UA24" s="713"/>
      <c r="UB24" s="971">
        <f t="shared" si="205"/>
        <v>0</v>
      </c>
      <c r="UC24" s="810"/>
      <c r="UD24" s="717"/>
      <c r="UE24" s="971">
        <f t="shared" si="206"/>
        <v>0</v>
      </c>
      <c r="UF24" s="1210">
        <f>'[1]Иные межбюджетные трансферты'!AS22</f>
        <v>0</v>
      </c>
      <c r="UG24" s="713">
        <f>'[1]Иные межбюджетные трансферты'!AW22</f>
        <v>0</v>
      </c>
      <c r="UH24" s="965">
        <f t="shared" si="207"/>
        <v>0</v>
      </c>
      <c r="UI24" s="1484"/>
      <c r="UJ24" s="804"/>
      <c r="UK24" s="865">
        <f t="shared" si="208"/>
        <v>0</v>
      </c>
      <c r="UL24" s="865">
        <f t="shared" si="209"/>
        <v>0</v>
      </c>
      <c r="UM24" s="865">
        <f t="shared" si="210"/>
        <v>0</v>
      </c>
      <c r="UN24" s="1493">
        <f t="shared" si="211"/>
        <v>0</v>
      </c>
      <c r="UO24" s="1267">
        <f t="shared" si="131"/>
        <v>0</v>
      </c>
      <c r="UP24" s="1029">
        <f>'[1]Иные межбюджетные трансферты'!S22</f>
        <v>0</v>
      </c>
      <c r="UQ24" s="1266">
        <f>'[1]Иные межбюджетные трансферты'!U22</f>
        <v>0</v>
      </c>
      <c r="UR24" s="769">
        <f t="shared" si="132"/>
        <v>0</v>
      </c>
      <c r="US24" s="1029"/>
      <c r="UT24" s="1266"/>
      <c r="UU24" s="1267">
        <f t="shared" si="133"/>
        <v>0</v>
      </c>
      <c r="UV24" s="1029">
        <f>'[1]Иные межбюджетные трансферты'!O22</f>
        <v>0</v>
      </c>
      <c r="UW24" s="1266">
        <f>'[1]Иные межбюджетные трансферты'!Q22</f>
        <v>0</v>
      </c>
      <c r="UX24" s="769">
        <f t="shared" si="134"/>
        <v>0</v>
      </c>
      <c r="UY24" s="1029"/>
      <c r="UZ24" s="1266"/>
      <c r="VA24" s="888">
        <f t="shared" si="212"/>
        <v>0</v>
      </c>
      <c r="VB24" s="887">
        <f>'[1]Иные межбюджетные трансферты'!I22</f>
        <v>0</v>
      </c>
      <c r="VC24" s="945">
        <f>'[1]Иные межбюджетные трансферты'!K22</f>
        <v>0</v>
      </c>
      <c r="VD24" s="1158">
        <f>'[1]Иные межбюджетные трансферты'!M22</f>
        <v>0</v>
      </c>
      <c r="VE24" s="888">
        <f t="shared" si="213"/>
        <v>0</v>
      </c>
      <c r="VF24" s="980"/>
      <c r="VG24" s="978"/>
      <c r="VH24" s="1323"/>
      <c r="VI24" s="528">
        <f t="shared" si="135"/>
        <v>0</v>
      </c>
      <c r="VJ24" s="882"/>
      <c r="VK24" s="888">
        <f t="shared" si="136"/>
        <v>0</v>
      </c>
      <c r="VL24" s="531"/>
      <c r="VM24" s="893">
        <f t="shared" si="137"/>
        <v>0</v>
      </c>
      <c r="VN24" s="529"/>
      <c r="VO24" s="893">
        <f t="shared" si="138"/>
        <v>0</v>
      </c>
      <c r="VP24" s="529"/>
      <c r="VQ24" s="893">
        <f t="shared" si="139"/>
        <v>0</v>
      </c>
      <c r="VR24" s="882"/>
      <c r="VS24" s="1028">
        <f t="shared" si="140"/>
        <v>0</v>
      </c>
      <c r="VT24" s="531"/>
      <c r="VU24" s="535">
        <f>VW24+'План и исполнение'!WE24+WA24+'План и исполнение'!WI24+WC24+'План и исполнение'!WK24</f>
        <v>-40350000</v>
      </c>
      <c r="VV24" s="535">
        <f>VX24+'План и исполнение'!WF24+WB24+'План и исполнение'!WJ24+WD24+'План и исполнение'!WL24</f>
        <v>-18500000</v>
      </c>
      <c r="VW24" s="549"/>
      <c r="VX24" s="549"/>
      <c r="VY24" s="549"/>
      <c r="VZ24" s="549"/>
      <c r="WA24" s="546">
        <f t="shared" si="141"/>
        <v>0</v>
      </c>
      <c r="WB24" s="544">
        <f t="shared" si="142"/>
        <v>0</v>
      </c>
      <c r="WC24" s="550"/>
      <c r="WD24" s="539"/>
      <c r="WE24" s="549">
        <v>-40000000</v>
      </c>
      <c r="WF24" s="549">
        <v>-18500000</v>
      </c>
      <c r="WG24" s="549">
        <v>-350000</v>
      </c>
      <c r="WH24" s="549"/>
      <c r="WI24" s="546">
        <f t="shared" si="143"/>
        <v>-350000</v>
      </c>
      <c r="WJ24" s="544">
        <f t="shared" si="144"/>
        <v>0</v>
      </c>
      <c r="WK24" s="539"/>
      <c r="WL24" s="539"/>
      <c r="WM24" s="1547">
        <f>'План и исполнение'!WE24+'План и исполнение'!WG24</f>
        <v>-40350000</v>
      </c>
      <c r="WN24" s="1547">
        <f>'План и исполнение'!WF24+'План и исполнение'!WH24</f>
        <v>-18500000</v>
      </c>
      <c r="WO24" s="1154"/>
    </row>
    <row r="25" spans="1:613" s="340" customFormat="1" ht="25.5" customHeight="1" x14ac:dyDescent="0.3">
      <c r="A25" s="349" t="s">
        <v>92</v>
      </c>
      <c r="B25" s="542">
        <f>D25+AI25+'План и исполнение'!RA25+'План и исполнение'!SG25</f>
        <v>392167384.81999999</v>
      </c>
      <c r="C25" s="535">
        <f>E25+'План и исполнение'!RD25+AJ25+'План и исполнение'!SH25</f>
        <v>197212086.53</v>
      </c>
      <c r="D25" s="540">
        <f t="shared" si="0"/>
        <v>73317600</v>
      </c>
      <c r="E25" s="542">
        <f t="shared" si="1"/>
        <v>45065000</v>
      </c>
      <c r="F25" s="603">
        <f>'[1]Дотация  из  ОБ_факт'!M21</f>
        <v>33795800</v>
      </c>
      <c r="G25" s="1551">
        <v>23548000</v>
      </c>
      <c r="H25" s="1556">
        <f>'[1]Дотация  из  ОБ_факт'!G21</f>
        <v>19006000</v>
      </c>
      <c r="I25" s="1551">
        <v>10026700</v>
      </c>
      <c r="J25" s="604">
        <f t="shared" si="2"/>
        <v>19006000</v>
      </c>
      <c r="K25" s="611">
        <f t="shared" si="3"/>
        <v>10026700</v>
      </c>
      <c r="L25" s="891">
        <f>'[1]Дотация  из  ОБ_факт'!K21</f>
        <v>0</v>
      </c>
      <c r="M25" s="782"/>
      <c r="N25" s="603">
        <f>'[1]Дотация  из  ОБ_факт'!Q21</f>
        <v>714000</v>
      </c>
      <c r="O25" s="1054">
        <v>714000</v>
      </c>
      <c r="P25" s="603">
        <f>'[1]Дотация  из  ОБ_факт'!S21</f>
        <v>18521300</v>
      </c>
      <c r="Q25" s="1048">
        <v>9495800</v>
      </c>
      <c r="R25" s="611">
        <f t="shared" si="4"/>
        <v>18521300</v>
      </c>
      <c r="S25" s="605">
        <f t="shared" si="5"/>
        <v>9495800</v>
      </c>
      <c r="T25" s="891">
        <f>'[1]Дотация  из  ОБ_факт'!W21</f>
        <v>0</v>
      </c>
      <c r="U25" s="643"/>
      <c r="V25" s="603">
        <f>'[1]Дотация  из  ОБ_факт'!AA21+'[1]Дотация  из  ОБ_факт'!AC21+'[1]Дотация  из  ОБ_факт'!AG21</f>
        <v>1000000</v>
      </c>
      <c r="W25" s="465">
        <f t="shared" si="6"/>
        <v>1000000</v>
      </c>
      <c r="X25" s="607"/>
      <c r="Y25" s="606">
        <v>1000000</v>
      </c>
      <c r="Z25" s="607"/>
      <c r="AA25" s="603">
        <f>'[1]Дотация  из  ОБ_факт'!Y21+'[1]Дотация  из  ОБ_факт'!AE21</f>
        <v>280500</v>
      </c>
      <c r="AB25" s="170">
        <f t="shared" si="7"/>
        <v>280500</v>
      </c>
      <c r="AC25" s="606">
        <v>280500</v>
      </c>
      <c r="AD25" s="607"/>
      <c r="AE25" s="604">
        <f t="shared" si="8"/>
        <v>280500</v>
      </c>
      <c r="AF25" s="611">
        <f t="shared" si="9"/>
        <v>280500</v>
      </c>
      <c r="AG25" s="604">
        <f>'[1]Дотация  из  ОБ_факт'!AE21</f>
        <v>0</v>
      </c>
      <c r="AH25" s="772"/>
      <c r="AI25" s="599">
        <f>'План и исполнение'!LQ25+'План и исполнение'!QS25+'План и исполнение'!QU25+CQ25+CS25+CY25+DA25+BS25+CA25+'План и исполнение'!JQ25+'План и исполнение'!KA25+'План и исполнение'!EC25+'План и исполнение'!LE25+DM25+'План и исполнение'!IM25+'План и исполнение'!IS25+'План и исполнение'!MM25+'План и исполнение'!MU25+IG25+'План и исполнение'!MA25+FK25+EY25+PO25+ES25+AK25+AU25+FE25+JK25+GG25+GQ25+DG25+PU25+FQ25+EI25+QA25+NY25+GA25+CM25+HU25+IA25+NS25</f>
        <v>98456727.819999993</v>
      </c>
      <c r="AJ25" s="504">
        <f>'План и исполнение'!LV25+'План и исполнение'!QT25+'План и исполнение'!QV25+CR25+CT25+CZ25+DB25+BW25+CE25+'План и исполнение'!JV25+'План и исполнение'!KF25+'План и исполнение'!EF25+'План и исполнение'!LK25+DU25+'План и исполнение'!IP25+'План и исполнение'!IV25+'План и исполнение'!MQ25+'План и исполнение'!MY25+IJ25+'План и исполнение'!ME25+FH25+FN25+FB25+PR25+EV25+AP25+AY25+JN25+GL25+GV25+DJ25+PX25+FT25+EN25+QD25+OF25+GD25+CO25+HX25+ID25+NV25</f>
        <v>23826383.100000005</v>
      </c>
      <c r="AK25" s="504">
        <f t="shared" si="10"/>
        <v>0</v>
      </c>
      <c r="AL25" s="343">
        <f>[1]Субсидия_факт!DB23</f>
        <v>0</v>
      </c>
      <c r="AM25" s="516">
        <f>[1]Субсидия_факт!FF23</f>
        <v>0</v>
      </c>
      <c r="AN25" s="514">
        <f>[1]Субсидия_факт!FR23</f>
        <v>0</v>
      </c>
      <c r="AO25" s="516">
        <f>[1]Субсидия_факт!MZ23</f>
        <v>0</v>
      </c>
      <c r="AP25" s="504">
        <f t="shared" si="11"/>
        <v>0</v>
      </c>
      <c r="AQ25" s="479"/>
      <c r="AR25" s="479"/>
      <c r="AS25" s="479"/>
      <c r="AT25" s="479"/>
      <c r="AU25" s="504">
        <f t="shared" si="12"/>
        <v>0</v>
      </c>
      <c r="AV25" s="469">
        <f>[1]Субсидия_факт!DD23</f>
        <v>0</v>
      </c>
      <c r="AW25" s="343">
        <f>[1]Субсидия_факт!FJ23</f>
        <v>0</v>
      </c>
      <c r="AX25" s="514">
        <f>[1]Субсидия_факт!NB23</f>
        <v>0</v>
      </c>
      <c r="AY25" s="504">
        <f t="shared" si="13"/>
        <v>0</v>
      </c>
      <c r="AZ25" s="547"/>
      <c r="BA25" s="547"/>
      <c r="BB25" s="548"/>
      <c r="BC25" s="697">
        <f t="shared" si="14"/>
        <v>0</v>
      </c>
      <c r="BD25" s="680">
        <f t="shared" si="15"/>
        <v>0</v>
      </c>
      <c r="BE25" s="469">
        <f t="shared" si="16"/>
        <v>0</v>
      </c>
      <c r="BF25" s="343">
        <f t="shared" si="17"/>
        <v>0</v>
      </c>
      <c r="BG25" s="697">
        <f t="shared" si="18"/>
        <v>0</v>
      </c>
      <c r="BH25" s="647">
        <f t="shared" si="19"/>
        <v>0</v>
      </c>
      <c r="BI25" s="514">
        <f t="shared" si="20"/>
        <v>0</v>
      </c>
      <c r="BJ25" s="343">
        <f t="shared" si="21"/>
        <v>0</v>
      </c>
      <c r="BK25" s="697">
        <f t="shared" si="22"/>
        <v>0</v>
      </c>
      <c r="BL25" s="469">
        <f>[1]Субсидия_факт!DF23</f>
        <v>0</v>
      </c>
      <c r="BM25" s="343">
        <f>[1]Субсидия_факт!FL23</f>
        <v>0</v>
      </c>
      <c r="BN25" s="469">
        <f>[1]Субсидия_факт!ND23</f>
        <v>0</v>
      </c>
      <c r="BO25" s="697">
        <f t="shared" si="23"/>
        <v>0</v>
      </c>
      <c r="BP25" s="548"/>
      <c r="BQ25" s="547"/>
      <c r="BR25" s="548"/>
      <c r="BS25" s="535">
        <f t="shared" si="145"/>
        <v>48724426</v>
      </c>
      <c r="BT25" s="449">
        <f>[1]Субсидия_факт!IL23</f>
        <v>13298580</v>
      </c>
      <c r="BU25" s="343">
        <f>[1]Субсидия_факт!IR23</f>
        <v>35425846</v>
      </c>
      <c r="BV25" s="529">
        <f>[1]Субсидия_факт!JD23</f>
        <v>0</v>
      </c>
      <c r="BW25" s="535">
        <f t="shared" si="146"/>
        <v>0</v>
      </c>
      <c r="BX25" s="547"/>
      <c r="BY25" s="547"/>
      <c r="BZ25" s="650"/>
      <c r="CA25" s="535">
        <f t="shared" si="147"/>
        <v>0</v>
      </c>
      <c r="CB25" s="469">
        <f>[1]Субсидия_факт!IN23</f>
        <v>0</v>
      </c>
      <c r="CC25" s="343">
        <f>[1]Субсидия_факт!IT23</f>
        <v>0</v>
      </c>
      <c r="CD25" s="529">
        <f>[1]Субсидия_факт!JF23</f>
        <v>0</v>
      </c>
      <c r="CE25" s="535">
        <f t="shared" si="148"/>
        <v>0</v>
      </c>
      <c r="CF25" s="547"/>
      <c r="CG25" s="548"/>
      <c r="CH25" s="760"/>
      <c r="CI25" s="546">
        <f t="shared" si="24"/>
        <v>0</v>
      </c>
      <c r="CJ25" s="544">
        <f t="shared" si="25"/>
        <v>0</v>
      </c>
      <c r="CK25" s="543">
        <f t="shared" si="149"/>
        <v>0</v>
      </c>
      <c r="CL25" s="546">
        <f t="shared" si="150"/>
        <v>0</v>
      </c>
      <c r="CM25" s="965">
        <f t="shared" si="151"/>
        <v>0</v>
      </c>
      <c r="CN25" s="721">
        <f>[1]Субсидия_факт!FT23</f>
        <v>0</v>
      </c>
      <c r="CO25" s="965">
        <f t="shared" si="151"/>
        <v>0</v>
      </c>
      <c r="CP25" s="721"/>
      <c r="CQ25" s="534">
        <f>[1]Субсидия_факт!FV23</f>
        <v>0</v>
      </c>
      <c r="CR25" s="644"/>
      <c r="CS25" s="535">
        <f>[1]Субсидия_факт!FX23</f>
        <v>0</v>
      </c>
      <c r="CT25" s="644"/>
      <c r="CU25" s="544">
        <f t="shared" si="26"/>
        <v>0</v>
      </c>
      <c r="CV25" s="543">
        <f t="shared" si="27"/>
        <v>0</v>
      </c>
      <c r="CW25" s="610">
        <f>[1]Субсидия_факт!FZ23</f>
        <v>0</v>
      </c>
      <c r="CX25" s="643"/>
      <c r="CY25" s="542">
        <f>[1]Субсидия_факт!GB23</f>
        <v>0</v>
      </c>
      <c r="CZ25" s="341"/>
      <c r="DA25" s="534">
        <f>[1]Субсидия_факт!GD23</f>
        <v>0</v>
      </c>
      <c r="DB25" s="644"/>
      <c r="DC25" s="544">
        <f t="shared" si="28"/>
        <v>0</v>
      </c>
      <c r="DD25" s="544">
        <f t="shared" si="29"/>
        <v>0</v>
      </c>
      <c r="DE25" s="691">
        <f>[1]Субсидия_факт!GF23</f>
        <v>0</v>
      </c>
      <c r="DF25" s="342"/>
      <c r="DG25" s="504">
        <f t="shared" si="30"/>
        <v>0</v>
      </c>
      <c r="DH25" s="529">
        <f>[1]Субсидия_факт!EV23</f>
        <v>0</v>
      </c>
      <c r="DI25" s="896">
        <f>[1]Субсидия_факт!EX23</f>
        <v>0</v>
      </c>
      <c r="DJ25" s="471">
        <f t="shared" si="31"/>
        <v>0</v>
      </c>
      <c r="DK25" s="809"/>
      <c r="DL25" s="1083"/>
      <c r="DM25" s="542">
        <f t="shared" si="32"/>
        <v>0</v>
      </c>
      <c r="DN25" s="541">
        <f>[1]Субсидия_факт!R23</f>
        <v>0</v>
      </c>
      <c r="DO25" s="1210">
        <f>[1]Субсидия_факт!T23</f>
        <v>0</v>
      </c>
      <c r="DP25" s="713">
        <f>[1]Субсидия_факт!V23</f>
        <v>0</v>
      </c>
      <c r="DQ25" s="673">
        <f>[1]Субсидия_факт!X23</f>
        <v>0</v>
      </c>
      <c r="DR25" s="814">
        <f>[1]Субсидия_факт!Z23</f>
        <v>0</v>
      </c>
      <c r="DS25" s="516">
        <f>[1]Субсидия_факт!AB23</f>
        <v>0</v>
      </c>
      <c r="DT25" s="673">
        <f>[1]Субсидия_факт!AD23</f>
        <v>0</v>
      </c>
      <c r="DU25" s="535">
        <f t="shared" si="33"/>
        <v>0</v>
      </c>
      <c r="DV25" s="548"/>
      <c r="DW25" s="547"/>
      <c r="DX25" s="717"/>
      <c r="DY25" s="547"/>
      <c r="DZ25" s="717"/>
      <c r="EA25" s="548"/>
      <c r="EB25" s="1210">
        <f t="shared" si="214"/>
        <v>0</v>
      </c>
      <c r="EC25" s="504">
        <f t="shared" si="34"/>
        <v>0</v>
      </c>
      <c r="ED25" s="529">
        <f>[1]Субсидия_факт!BN23</f>
        <v>0</v>
      </c>
      <c r="EE25" s="896">
        <f>[1]Субсидия_факт!BP23</f>
        <v>0</v>
      </c>
      <c r="EF25" s="471">
        <f t="shared" si="35"/>
        <v>0</v>
      </c>
      <c r="EG25" s="809"/>
      <c r="EH25" s="1083"/>
      <c r="EI25" s="542">
        <f t="shared" si="152"/>
        <v>2980082.37</v>
      </c>
      <c r="EJ25" s="469">
        <f>[1]Субсидия_факт!AJ23</f>
        <v>120407.37</v>
      </c>
      <c r="EK25" s="721">
        <f>[1]Субсидия_факт!AL23</f>
        <v>2859675</v>
      </c>
      <c r="EL25" s="449">
        <f>[1]Субсидия_факт!AN23</f>
        <v>0</v>
      </c>
      <c r="EM25" s="721">
        <f>[1]Субсидия_факт!AP23</f>
        <v>0</v>
      </c>
      <c r="EN25" s="535">
        <f t="shared" si="153"/>
        <v>1947545.58</v>
      </c>
      <c r="EO25" s="479">
        <v>78688.710000000006</v>
      </c>
      <c r="EP25" s="717">
        <v>1868856.87</v>
      </c>
      <c r="EQ25" s="479"/>
      <c r="ER25" s="717"/>
      <c r="ES25" s="504">
        <f t="shared" si="36"/>
        <v>0</v>
      </c>
      <c r="ET25" s="529">
        <f>[1]Субсидия_факт!AX23</f>
        <v>0</v>
      </c>
      <c r="EU25" s="789">
        <f>[1]Субсидия_факт!AZ23</f>
        <v>0</v>
      </c>
      <c r="EV25" s="471">
        <f t="shared" si="37"/>
        <v>0</v>
      </c>
      <c r="EW25" s="809"/>
      <c r="EX25" s="708"/>
      <c r="EY25" s="504">
        <f t="shared" si="38"/>
        <v>0</v>
      </c>
      <c r="EZ25" s="529">
        <f>[1]Субсидия_факт!BZ23</f>
        <v>0</v>
      </c>
      <c r="FA25" s="896">
        <f>[1]Субсидия_факт!CB23</f>
        <v>0</v>
      </c>
      <c r="FB25" s="471">
        <f t="shared" si="39"/>
        <v>0</v>
      </c>
      <c r="FC25" s="809"/>
      <c r="FD25" s="708"/>
      <c r="FE25" s="504">
        <f t="shared" si="40"/>
        <v>0</v>
      </c>
      <c r="FF25" s="529">
        <f>[1]Субсидия_факт!BR23</f>
        <v>0</v>
      </c>
      <c r="FG25" s="896">
        <f>[1]Субсидия_факт!BT23</f>
        <v>0</v>
      </c>
      <c r="FH25" s="471">
        <f t="shared" si="41"/>
        <v>0</v>
      </c>
      <c r="FI25" s="809"/>
      <c r="FJ25" s="708"/>
      <c r="FK25" s="504">
        <f t="shared" si="42"/>
        <v>0</v>
      </c>
      <c r="FL25" s="529">
        <f>[1]Субсидия_факт!KJ23</f>
        <v>0</v>
      </c>
      <c r="FM25" s="896">
        <f>[1]Субсидия_факт!KL23</f>
        <v>0</v>
      </c>
      <c r="FN25" s="471">
        <f t="shared" si="43"/>
        <v>0</v>
      </c>
      <c r="FO25" s="809"/>
      <c r="FP25" s="708"/>
      <c r="FQ25" s="504">
        <f t="shared" si="44"/>
        <v>0</v>
      </c>
      <c r="FR25" s="529">
        <f>[1]Субсидия_факт!KN23</f>
        <v>0</v>
      </c>
      <c r="FS25" s="896">
        <f>[1]Субсидия_факт!KR23</f>
        <v>0</v>
      </c>
      <c r="FT25" s="471">
        <f t="shared" si="45"/>
        <v>0</v>
      </c>
      <c r="FU25" s="809"/>
      <c r="FV25" s="708"/>
      <c r="FW25" s="695">
        <f t="shared" si="154"/>
        <v>0</v>
      </c>
      <c r="FX25" s="697">
        <f t="shared" si="155"/>
        <v>0</v>
      </c>
      <c r="FY25" s="695">
        <f t="shared" si="156"/>
        <v>0</v>
      </c>
      <c r="FZ25" s="697">
        <f t="shared" si="157"/>
        <v>0</v>
      </c>
      <c r="GA25" s="504">
        <f t="shared" si="158"/>
        <v>0</v>
      </c>
      <c r="GB25" s="1374">
        <f>[1]Субсидия_факт!BJ23</f>
        <v>0</v>
      </c>
      <c r="GC25" s="706">
        <f>[1]Субсидия_факт!BL23</f>
        <v>0</v>
      </c>
      <c r="GD25" s="504">
        <f t="shared" si="159"/>
        <v>0</v>
      </c>
      <c r="GE25" s="760"/>
      <c r="GF25" s="708"/>
      <c r="GG25" s="504">
        <f t="shared" si="46"/>
        <v>0</v>
      </c>
      <c r="GH25" s="760"/>
      <c r="GI25" s="708"/>
      <c r="GJ25" s="529"/>
      <c r="GK25" s="896"/>
      <c r="GL25" s="471">
        <f t="shared" si="47"/>
        <v>0</v>
      </c>
      <c r="GM25" s="760"/>
      <c r="GN25" s="708"/>
      <c r="GO25" s="760"/>
      <c r="GP25" s="708"/>
      <c r="GQ25" s="471">
        <f t="shared" si="160"/>
        <v>0</v>
      </c>
      <c r="GR25" s="1374">
        <f>[1]Субсидия_факт!GJ23</f>
        <v>0</v>
      </c>
      <c r="GS25" s="706">
        <f>[1]Субсидия_факт!GN23</f>
        <v>0</v>
      </c>
      <c r="GT25" s="529">
        <f>[1]Субсидия_факт!GX23</f>
        <v>0</v>
      </c>
      <c r="GU25" s="896">
        <f>[1]Субсидия_факт!HB23</f>
        <v>0</v>
      </c>
      <c r="GV25" s="471">
        <f t="shared" si="161"/>
        <v>0</v>
      </c>
      <c r="GW25" s="760"/>
      <c r="GX25" s="708"/>
      <c r="GY25" s="760"/>
      <c r="GZ25" s="708"/>
      <c r="HA25" s="695">
        <f t="shared" si="162"/>
        <v>0</v>
      </c>
      <c r="HB25" s="1374">
        <f t="shared" si="48"/>
        <v>0</v>
      </c>
      <c r="HC25" s="1375">
        <f t="shared" si="49"/>
        <v>0</v>
      </c>
      <c r="HD25" s="529">
        <f t="shared" si="50"/>
        <v>0</v>
      </c>
      <c r="HE25" s="896">
        <f t="shared" si="51"/>
        <v>0</v>
      </c>
      <c r="HF25" s="695">
        <f t="shared" si="163"/>
        <v>0</v>
      </c>
      <c r="HG25" s="1374">
        <f t="shared" si="52"/>
        <v>0</v>
      </c>
      <c r="HH25" s="1375">
        <f t="shared" si="53"/>
        <v>0</v>
      </c>
      <c r="HI25" s="529">
        <f t="shared" si="54"/>
        <v>0</v>
      </c>
      <c r="HJ25" s="896">
        <f t="shared" si="55"/>
        <v>0</v>
      </c>
      <c r="HK25" s="695">
        <f t="shared" si="164"/>
        <v>0</v>
      </c>
      <c r="HL25" s="1374">
        <f>[1]Субсидия_факт!GL23</f>
        <v>0</v>
      </c>
      <c r="HM25" s="706">
        <f>[1]Субсидия_факт!GP23</f>
        <v>0</v>
      </c>
      <c r="HN25" s="529">
        <f>[1]Субсидия_факт!GZ23</f>
        <v>0</v>
      </c>
      <c r="HO25" s="896">
        <f>[1]Субсидия_факт!HD23</f>
        <v>0</v>
      </c>
      <c r="HP25" s="695">
        <f t="shared" si="165"/>
        <v>0</v>
      </c>
      <c r="HQ25" s="760"/>
      <c r="HR25" s="708"/>
      <c r="HS25" s="760"/>
      <c r="HT25" s="708"/>
      <c r="HU25" s="542">
        <f t="shared" si="56"/>
        <v>0</v>
      </c>
      <c r="HV25" s="531">
        <f>[1]Субсидия_факт!N23</f>
        <v>0</v>
      </c>
      <c r="HW25" s="789">
        <f>[1]Субсидия_факт!P23</f>
        <v>0</v>
      </c>
      <c r="HX25" s="535">
        <f t="shared" si="57"/>
        <v>0</v>
      </c>
      <c r="HY25" s="547"/>
      <c r="HZ25" s="739"/>
      <c r="IA25" s="542">
        <f t="shared" si="58"/>
        <v>0</v>
      </c>
      <c r="IB25" s="541">
        <f>[1]Субсидия_факт!DZ23</f>
        <v>0</v>
      </c>
      <c r="IC25" s="721">
        <f>[1]Субсидия_факт!EB23</f>
        <v>0</v>
      </c>
      <c r="ID25" s="534">
        <f t="shared" si="59"/>
        <v>0</v>
      </c>
      <c r="IE25" s="547"/>
      <c r="IF25" s="739"/>
      <c r="IG25" s="542">
        <f t="shared" si="166"/>
        <v>0</v>
      </c>
      <c r="IH25" s="531">
        <f>[1]Субсидия_факт!EP23</f>
        <v>0</v>
      </c>
      <c r="II25" s="789">
        <f>[1]Субсидия_факт!ER23</f>
        <v>0</v>
      </c>
      <c r="IJ25" s="535">
        <f t="shared" si="167"/>
        <v>0</v>
      </c>
      <c r="IK25" s="547"/>
      <c r="IL25" s="739"/>
      <c r="IM25" s="599">
        <f t="shared" si="62"/>
        <v>897137.82000000007</v>
      </c>
      <c r="IN25" s="529">
        <f>[1]Субсидия_факт!ED23</f>
        <v>251199.82</v>
      </c>
      <c r="IO25" s="896">
        <f>[1]Субсидия_факт!EJ23</f>
        <v>645938</v>
      </c>
      <c r="IP25" s="471">
        <f t="shared" si="63"/>
        <v>739200.19</v>
      </c>
      <c r="IQ25" s="760">
        <v>206977.07</v>
      </c>
      <c r="IR25" s="708">
        <v>532223.12</v>
      </c>
      <c r="IS25" s="471">
        <f t="shared" si="64"/>
        <v>85061.959999999992</v>
      </c>
      <c r="IT25" s="529">
        <f>[1]Субсидия_факт!EF23</f>
        <v>23817.47</v>
      </c>
      <c r="IU25" s="789">
        <f>[1]Субсидия_факт!EL23</f>
        <v>61244.49</v>
      </c>
      <c r="IV25" s="471">
        <f t="shared" si="65"/>
        <v>0</v>
      </c>
      <c r="IW25" s="650">
        <v>0</v>
      </c>
      <c r="IX25" s="742"/>
      <c r="IY25" s="697">
        <f t="shared" si="66"/>
        <v>85061.959999999992</v>
      </c>
      <c r="IZ25" s="787">
        <f>'План и исполнение'!IT25-'План и исполнение'!JF25</f>
        <v>23817.47</v>
      </c>
      <c r="JA25" s="706">
        <f>'План и исполнение'!IU25-'План и исполнение'!JG25</f>
        <v>61244.49</v>
      </c>
      <c r="JB25" s="691">
        <f t="shared" si="67"/>
        <v>0</v>
      </c>
      <c r="JC25" s="793">
        <f>'План и исполнение'!IW25-'План и исполнение'!JI25</f>
        <v>0</v>
      </c>
      <c r="JD25" s="804">
        <f>'План и исполнение'!IX25-'План и исполнение'!JJ25</f>
        <v>0</v>
      </c>
      <c r="JE25" s="697">
        <f t="shared" si="68"/>
        <v>0</v>
      </c>
      <c r="JF25" s="529">
        <f>[1]Субсидия_факт!EH23</f>
        <v>0</v>
      </c>
      <c r="JG25" s="896">
        <f>[1]Субсидия_факт!EN23</f>
        <v>0</v>
      </c>
      <c r="JH25" s="697">
        <f t="shared" si="69"/>
        <v>0</v>
      </c>
      <c r="JI25" s="529"/>
      <c r="JJ25" s="789"/>
      <c r="JK25" s="471">
        <f t="shared" si="70"/>
        <v>0</v>
      </c>
      <c r="JL25" s="793">
        <f>[1]Субсидия_факт!AR23</f>
        <v>0</v>
      </c>
      <c r="JM25" s="706">
        <f>[1]Субсидия_факт!AT23</f>
        <v>0</v>
      </c>
      <c r="JN25" s="471">
        <f t="shared" si="71"/>
        <v>0</v>
      </c>
      <c r="JO25" s="650"/>
      <c r="JP25" s="708"/>
      <c r="JQ25" s="785">
        <f t="shared" si="72"/>
        <v>0</v>
      </c>
      <c r="JR25" s="793">
        <f>[1]Субсидия_факт!CJ23</f>
        <v>0</v>
      </c>
      <c r="JS25" s="706">
        <f>[1]Субсидия_факт!CP23</f>
        <v>0</v>
      </c>
      <c r="JT25" s="529">
        <f>[1]Субсидия_факт!DN23</f>
        <v>0</v>
      </c>
      <c r="JU25" s="896">
        <f>[1]Субсидия_факт!DT23</f>
        <v>0</v>
      </c>
      <c r="JV25" s="471">
        <f t="shared" si="73"/>
        <v>0</v>
      </c>
      <c r="JW25" s="650"/>
      <c r="JX25" s="708"/>
      <c r="JY25" s="650"/>
      <c r="JZ25" s="892"/>
      <c r="KA25" s="785">
        <f t="shared" si="74"/>
        <v>0</v>
      </c>
      <c r="KB25" s="793">
        <f>[1]Субсидия_факт!CL23</f>
        <v>0</v>
      </c>
      <c r="KC25" s="706">
        <f>[1]Субсидия_факт!CR23</f>
        <v>0</v>
      </c>
      <c r="KD25" s="529">
        <f>[1]Субсидия_факт!DP23</f>
        <v>0</v>
      </c>
      <c r="KE25" s="896">
        <f>[1]Субсидия_факт!DV23</f>
        <v>0</v>
      </c>
      <c r="KF25" s="471">
        <f t="shared" si="75"/>
        <v>0</v>
      </c>
      <c r="KG25" s="650"/>
      <c r="KH25" s="708"/>
      <c r="KI25" s="809"/>
      <c r="KJ25" s="708"/>
      <c r="KK25" s="788">
        <f t="shared" si="76"/>
        <v>0</v>
      </c>
      <c r="KL25" s="793">
        <f>'План и исполнение'!KB25-KV25</f>
        <v>0</v>
      </c>
      <c r="KM25" s="706">
        <f>'План и исполнение'!KC25-KW25</f>
        <v>0</v>
      </c>
      <c r="KN25" s="787">
        <f>'План и исполнение'!KD25-KX25</f>
        <v>0</v>
      </c>
      <c r="KO25" s="706">
        <f>'План и исполнение'!KE25-KY25</f>
        <v>0</v>
      </c>
      <c r="KP25" s="788">
        <f t="shared" si="77"/>
        <v>0</v>
      </c>
      <c r="KQ25" s="793">
        <f>'План и исполнение'!KG25-LA25</f>
        <v>0</v>
      </c>
      <c r="KR25" s="830">
        <f>'План и исполнение'!KH25-LB25</f>
        <v>0</v>
      </c>
      <c r="KS25" s="793">
        <f>'План и исполнение'!KI25-LC25</f>
        <v>0</v>
      </c>
      <c r="KT25" s="804">
        <f>'План и исполнение'!KJ25-LD25</f>
        <v>0</v>
      </c>
      <c r="KU25" s="697">
        <f t="shared" si="78"/>
        <v>0</v>
      </c>
      <c r="KV25" s="793">
        <f>[1]Субсидия_факт!CN23</f>
        <v>0</v>
      </c>
      <c r="KW25" s="706">
        <f>[1]Субсидия_факт!CT23</f>
        <v>0</v>
      </c>
      <c r="KX25" s="529">
        <f>[1]Субсидия_факт!DR23</f>
        <v>0</v>
      </c>
      <c r="KY25" s="896">
        <f>[1]Субсидия_факт!DX23</f>
        <v>0</v>
      </c>
      <c r="KZ25" s="697">
        <f t="shared" si="79"/>
        <v>0</v>
      </c>
      <c r="LA25" s="650"/>
      <c r="LB25" s="708"/>
      <c r="LC25" s="531"/>
      <c r="LD25" s="1639"/>
      <c r="LE25" s="504">
        <f t="shared" si="168"/>
        <v>0</v>
      </c>
      <c r="LF25" s="529">
        <f>[1]Субсидия_факт!CD23</f>
        <v>0</v>
      </c>
      <c r="LG25" s="789">
        <f>[1]Субсидия_факт!CF23</f>
        <v>0</v>
      </c>
      <c r="LH25" s="529">
        <f>[1]Субсидия_факт!BV23</f>
        <v>0</v>
      </c>
      <c r="LI25" s="789">
        <f>[1]Субсидия_факт!BX23</f>
        <v>0</v>
      </c>
      <c r="LJ25" s="529">
        <f>[1]Субсидия_факт!CH23</f>
        <v>0</v>
      </c>
      <c r="LK25" s="471">
        <f t="shared" si="169"/>
        <v>0</v>
      </c>
      <c r="LL25" s="650"/>
      <c r="LM25" s="708"/>
      <c r="LN25" s="650"/>
      <c r="LO25" s="708"/>
      <c r="LP25" s="650"/>
      <c r="LQ25" s="504">
        <f t="shared" si="80"/>
        <v>0</v>
      </c>
      <c r="LR25" s="516">
        <f>[1]Субсидия_факт!HN23</f>
        <v>0</v>
      </c>
      <c r="LS25" s="529">
        <f>[1]Субсидия_факт!HL23</f>
        <v>0</v>
      </c>
      <c r="LT25" s="541">
        <f>[1]Субсидия_факт!HV23</f>
        <v>0</v>
      </c>
      <c r="LU25" s="721">
        <f>[1]Субсидия_факт!HX23</f>
        <v>0</v>
      </c>
      <c r="LV25" s="471">
        <f t="shared" si="81"/>
        <v>0</v>
      </c>
      <c r="LW25" s="344"/>
      <c r="LX25" s="650"/>
      <c r="LY25" s="479"/>
      <c r="LZ25" s="717"/>
      <c r="MA25" s="471">
        <f t="shared" si="82"/>
        <v>0</v>
      </c>
      <c r="MB25" s="531">
        <f>[1]Субсидия_факт!HT23</f>
        <v>0</v>
      </c>
      <c r="MC25" s="531">
        <f>[1]Субсидия_факт!HP23</f>
        <v>0</v>
      </c>
      <c r="MD25" s="789">
        <f>[1]Субсидия_факт!HR23</f>
        <v>0</v>
      </c>
      <c r="ME25" s="471">
        <f t="shared" si="83"/>
        <v>0</v>
      </c>
      <c r="MF25" s="793">
        <f t="shared" si="170"/>
        <v>0</v>
      </c>
      <c r="MG25" s="650"/>
      <c r="MH25" s="708"/>
      <c r="MI25" s="893">
        <f t="shared" si="84"/>
        <v>0</v>
      </c>
      <c r="MJ25" s="893">
        <f t="shared" si="85"/>
        <v>0</v>
      </c>
      <c r="MK25" s="695">
        <f t="shared" si="86"/>
        <v>0</v>
      </c>
      <c r="ML25" s="1028">
        <f t="shared" si="87"/>
        <v>0</v>
      </c>
      <c r="MM25" s="791">
        <f t="shared" si="216"/>
        <v>0</v>
      </c>
      <c r="MN25" s="529">
        <f>[1]Субсидия_факт!LH23</f>
        <v>0</v>
      </c>
      <c r="MO25" s="896">
        <f>[1]Субсидия_факт!LN23</f>
        <v>0</v>
      </c>
      <c r="MP25" s="531"/>
      <c r="MQ25" s="791">
        <f t="shared" si="171"/>
        <v>0</v>
      </c>
      <c r="MR25" s="809"/>
      <c r="MS25" s="708"/>
      <c r="MT25" s="531"/>
      <c r="MU25" s="791">
        <f t="shared" si="172"/>
        <v>7000000</v>
      </c>
      <c r="MV25" s="529">
        <f>[1]Субсидия_факт!LJ23</f>
        <v>0</v>
      </c>
      <c r="MW25" s="896">
        <f>[1]Субсидия_факт!LP23</f>
        <v>0</v>
      </c>
      <c r="MX25" s="531">
        <f>[1]Субсидия_факт!LT23</f>
        <v>7000000</v>
      </c>
      <c r="MY25" s="791">
        <f t="shared" si="173"/>
        <v>6481102.9199999999</v>
      </c>
      <c r="MZ25" s="650"/>
      <c r="NA25" s="808"/>
      <c r="NB25" s="650">
        <v>6481102.9199999999</v>
      </c>
      <c r="NC25" s="792">
        <f t="shared" si="175"/>
        <v>7000000</v>
      </c>
      <c r="ND25" s="680">
        <f>'План и исполнение'!MV25-NL25</f>
        <v>0</v>
      </c>
      <c r="NE25" s="713">
        <f>'План и исполнение'!MW25-NM25</f>
        <v>0</v>
      </c>
      <c r="NF25" s="647">
        <f>'План и исполнение'!MX25-NN25</f>
        <v>7000000</v>
      </c>
      <c r="NG25" s="792">
        <f t="shared" si="176"/>
        <v>6481102.9199999999</v>
      </c>
      <c r="NH25" s="787">
        <f>'План и исполнение'!MZ25-NP25</f>
        <v>0</v>
      </c>
      <c r="NI25" s="706">
        <f>'План и исполнение'!NA25-NQ25</f>
        <v>0</v>
      </c>
      <c r="NJ25" s="793">
        <f>'План и исполнение'!NB25-NR25</f>
        <v>6481102.9199999999</v>
      </c>
      <c r="NK25" s="792">
        <f t="shared" si="177"/>
        <v>0</v>
      </c>
      <c r="NL25" s="529">
        <f>[1]Субсидия_факт!LL23</f>
        <v>0</v>
      </c>
      <c r="NM25" s="896">
        <f>[1]Субсидия_факт!LR23</f>
        <v>0</v>
      </c>
      <c r="NN25" s="529">
        <f>[1]Субсидия_факт!LV23</f>
        <v>0</v>
      </c>
      <c r="NO25" s="792">
        <f t="shared" si="178"/>
        <v>0</v>
      </c>
      <c r="NP25" s="787">
        <f t="shared" si="179"/>
        <v>0</v>
      </c>
      <c r="NQ25" s="706">
        <f t="shared" si="180"/>
        <v>0</v>
      </c>
      <c r="NR25" s="529">
        <f t="shared" si="215"/>
        <v>0</v>
      </c>
      <c r="NS25" s="535">
        <f t="shared" si="181"/>
        <v>0</v>
      </c>
      <c r="NT25" s="1285">
        <f>[1]Субсидия_факт!NF23</f>
        <v>0</v>
      </c>
      <c r="NU25" s="713">
        <f>[1]Субсидия_факт!NH23</f>
        <v>0</v>
      </c>
      <c r="NV25" s="535">
        <f t="shared" si="182"/>
        <v>0</v>
      </c>
      <c r="NW25" s="344"/>
      <c r="NX25" s="739"/>
      <c r="NY25" s="535">
        <f t="shared" si="183"/>
        <v>3329693.55</v>
      </c>
      <c r="NZ25" s="1194">
        <f>[1]Субсидия_факт!LX23</f>
        <v>0</v>
      </c>
      <c r="OA25" s="1295">
        <f>[1]Субсидия_факт!MB23</f>
        <v>0</v>
      </c>
      <c r="OB25" s="1194">
        <f>[1]Субсидия_факт!MF23</f>
        <v>932314.19</v>
      </c>
      <c r="OC25" s="713">
        <f>[1]Субсидия_факт!MJ23</f>
        <v>2397379.36</v>
      </c>
      <c r="OD25" s="1285">
        <f>[1]Субсидия_факт!NJ23</f>
        <v>0</v>
      </c>
      <c r="OE25" s="713">
        <f>[1]Субсидия_факт!NN23</f>
        <v>0</v>
      </c>
      <c r="OF25" s="535">
        <f t="shared" si="184"/>
        <v>207598.3</v>
      </c>
      <c r="OG25" s="493"/>
      <c r="OH25" s="746"/>
      <c r="OI25" s="344">
        <v>58127.519999999997</v>
      </c>
      <c r="OJ25" s="739">
        <v>149470.78</v>
      </c>
      <c r="OK25" s="493"/>
      <c r="OL25" s="746"/>
      <c r="OM25" s="610">
        <f t="shared" si="185"/>
        <v>3329693.55</v>
      </c>
      <c r="ON25" s="1194">
        <f t="shared" si="88"/>
        <v>0</v>
      </c>
      <c r="OO25" s="713">
        <f t="shared" si="89"/>
        <v>0</v>
      </c>
      <c r="OP25" s="493">
        <f t="shared" si="90"/>
        <v>932314.19</v>
      </c>
      <c r="OQ25" s="713">
        <f t="shared" si="91"/>
        <v>2397379.36</v>
      </c>
      <c r="OR25" s="1285">
        <f t="shared" si="92"/>
        <v>0</v>
      </c>
      <c r="OS25" s="713">
        <f t="shared" si="93"/>
        <v>0</v>
      </c>
      <c r="OT25" s="610">
        <f t="shared" si="186"/>
        <v>207598.3</v>
      </c>
      <c r="OU25" s="1194">
        <f t="shared" si="94"/>
        <v>0</v>
      </c>
      <c r="OV25" s="713">
        <f t="shared" si="95"/>
        <v>0</v>
      </c>
      <c r="OW25" s="493">
        <f t="shared" si="96"/>
        <v>58127.519999999997</v>
      </c>
      <c r="OX25" s="713">
        <f t="shared" si="97"/>
        <v>149470.78</v>
      </c>
      <c r="OY25" s="1285">
        <f t="shared" si="98"/>
        <v>0</v>
      </c>
      <c r="OZ25" s="713">
        <f t="shared" si="99"/>
        <v>0</v>
      </c>
      <c r="PA25" s="610">
        <f t="shared" si="187"/>
        <v>0</v>
      </c>
      <c r="PB25" s="1194">
        <f>[1]Субсидия_факт!LZ23</f>
        <v>0</v>
      </c>
      <c r="PC25" s="1295">
        <f>[1]Субсидия_факт!MD23</f>
        <v>0</v>
      </c>
      <c r="PD25" s="1194">
        <f>[1]Субсидия_факт!MH23</f>
        <v>0</v>
      </c>
      <c r="PE25" s="713">
        <f>[1]Субсидия_факт!ML23</f>
        <v>0</v>
      </c>
      <c r="PF25" s="991">
        <f>[1]Субсидия_факт!NL23</f>
        <v>0</v>
      </c>
      <c r="PG25" s="801">
        <f>[1]Субсидия_факт!NP23</f>
        <v>0</v>
      </c>
      <c r="PH25" s="610">
        <f t="shared" si="188"/>
        <v>0</v>
      </c>
      <c r="PI25" s="991"/>
      <c r="PJ25" s="746"/>
      <c r="PK25" s="493"/>
      <c r="PL25" s="746"/>
      <c r="PM25" s="493"/>
      <c r="PN25" s="746"/>
      <c r="PO25" s="504">
        <f t="shared" si="100"/>
        <v>0</v>
      </c>
      <c r="PP25" s="529">
        <f>[1]Субсидия_факт!AF23</f>
        <v>0</v>
      </c>
      <c r="PQ25" s="896">
        <f>[1]Субсидия_факт!AH23</f>
        <v>0</v>
      </c>
      <c r="PR25" s="471">
        <f t="shared" si="101"/>
        <v>0</v>
      </c>
      <c r="PS25" s="809"/>
      <c r="PT25" s="708"/>
      <c r="PU25" s="535">
        <f t="shared" si="102"/>
        <v>0</v>
      </c>
      <c r="PV25" s="673">
        <f>[1]Субсидия_факт!MN23</f>
        <v>0</v>
      </c>
      <c r="PW25" s="814">
        <f>[1]Субсидия_факт!MP23</f>
        <v>0</v>
      </c>
      <c r="PX25" s="535">
        <f t="shared" si="103"/>
        <v>0</v>
      </c>
      <c r="PY25" s="1377"/>
      <c r="PZ25" s="717"/>
      <c r="QA25" s="535">
        <f t="shared" si="104"/>
        <v>0</v>
      </c>
      <c r="QB25" s="1194">
        <f>[1]Субсидия_факт!MR23</f>
        <v>0</v>
      </c>
      <c r="QC25" s="713">
        <f>[1]Субсидия_факт!MV23</f>
        <v>0</v>
      </c>
      <c r="QD25" s="535">
        <f t="shared" si="105"/>
        <v>0</v>
      </c>
      <c r="QE25" s="479"/>
      <c r="QF25" s="717"/>
      <c r="QG25" s="610">
        <f t="shared" si="106"/>
        <v>0</v>
      </c>
      <c r="QH25" s="1194">
        <f t="shared" si="107"/>
        <v>0</v>
      </c>
      <c r="QI25" s="713">
        <f t="shared" si="108"/>
        <v>0</v>
      </c>
      <c r="QJ25" s="610">
        <f t="shared" si="109"/>
        <v>0</v>
      </c>
      <c r="QK25" s="1194">
        <f t="shared" si="110"/>
        <v>0</v>
      </c>
      <c r="QL25" s="713">
        <f t="shared" si="111"/>
        <v>0</v>
      </c>
      <c r="QM25" s="610">
        <f t="shared" si="112"/>
        <v>0</v>
      </c>
      <c r="QN25" s="1210">
        <f>[1]Субсидия_факт!MT23</f>
        <v>0</v>
      </c>
      <c r="QO25" s="713">
        <f>[1]Субсидия_факт!MX23</f>
        <v>0</v>
      </c>
      <c r="QP25" s="610">
        <f t="shared" si="113"/>
        <v>0</v>
      </c>
      <c r="QQ25" s="479"/>
      <c r="QR25" s="717"/>
      <c r="QS25" s="535">
        <f>'Прочая  субсидия_МР  и  ГО'!B21</f>
        <v>26846730.690000005</v>
      </c>
      <c r="QT25" s="535">
        <f>'Прочая  субсидия_МР  и  ГО'!C21</f>
        <v>11709917.550000003</v>
      </c>
      <c r="QU25" s="540">
        <f>'Прочая  субсидия_БП'!B21</f>
        <v>8593595.4299999997</v>
      </c>
      <c r="QV25" s="542">
        <f>'Прочая  субсидия_БП'!C21</f>
        <v>2741018.56</v>
      </c>
      <c r="QW25" s="605">
        <f>'Прочая  субсидия_БП'!D21</f>
        <v>8593595.4299999997</v>
      </c>
      <c r="QX25" s="604">
        <f>'Прочая  субсидия_БП'!E21</f>
        <v>2741018.56</v>
      </c>
      <c r="QY25" s="611">
        <f>'Прочая  субсидия_БП'!F21</f>
        <v>0</v>
      </c>
      <c r="QZ25" s="605">
        <f>'Прочая  субсидия_БП'!G21</f>
        <v>0</v>
      </c>
      <c r="RA25" s="542">
        <f t="shared" si="189"/>
        <v>220393057</v>
      </c>
      <c r="RB25" s="469">
        <f>'План и исполнение'!RZ25+'План и исполнение'!RG25+'План и исполнение'!RI25+'План и исполнение'!RK25</f>
        <v>217413357</v>
      </c>
      <c r="RC25" s="343">
        <f>'План и исполнение'!SB25+'План и исполнение'!RM25+'План и исполнение'!RS25+'План и исполнение'!RO25+'План и исполнение'!RQ25+RU25+RW25+SA25</f>
        <v>2979700</v>
      </c>
      <c r="RD25" s="534">
        <f t="shared" si="190"/>
        <v>128320703.43000001</v>
      </c>
      <c r="RE25" s="541">
        <f>'План и исполнение'!SD25+'План и исполнение'!RH25+'План и исполнение'!RJ25+'План и исполнение'!RL25</f>
        <v>126724225</v>
      </c>
      <c r="RF25" s="343">
        <f>'План и исполнение'!SF25+'План и исполнение'!RN25+'План и исполнение'!RT25+'План и исполнение'!RP25+'План и исполнение'!RR25+RV25+RX25+SE25</f>
        <v>1596478.4300000002</v>
      </c>
      <c r="RG25" s="599">
        <f>'Субвенция  на  полномочия'!B21</f>
        <v>208571657</v>
      </c>
      <c r="RH25" s="471">
        <f>'Субвенция  на  полномочия'!C21</f>
        <v>122438225</v>
      </c>
      <c r="RI25" s="768">
        <f>[1]Субвенция_факт!P22*1000</f>
        <v>5781000</v>
      </c>
      <c r="RJ25" s="771">
        <v>2924000</v>
      </c>
      <c r="RK25" s="768">
        <f>[1]Субвенция_факт!K22*1000</f>
        <v>2092800.0000000002</v>
      </c>
      <c r="RL25" s="771">
        <v>780000</v>
      </c>
      <c r="RM25" s="768">
        <f>[1]Субвенция_факт!AF22*1000</f>
        <v>1379700</v>
      </c>
      <c r="RN25" s="771">
        <v>674490.31</v>
      </c>
      <c r="RO25" s="768">
        <f>[1]Субвенция_факт!AG22*1000</f>
        <v>0</v>
      </c>
      <c r="RP25" s="771">
        <v>0</v>
      </c>
      <c r="RQ25" s="768">
        <f>[1]Субвенция_факт!E22*1000</f>
        <v>0</v>
      </c>
      <c r="RR25" s="771"/>
      <c r="RS25" s="768">
        <f>[1]Субвенция_факт!F22*1000</f>
        <v>0</v>
      </c>
      <c r="RT25" s="877"/>
      <c r="RU25" s="168">
        <f>[1]Субвенция_факт!G22*1000</f>
        <v>0</v>
      </c>
      <c r="RV25" s="1241"/>
      <c r="RW25" s="168">
        <f>[1]Субвенция_факт!H22*1000</f>
        <v>0</v>
      </c>
      <c r="RX25" s="878"/>
      <c r="RY25" s="504">
        <f t="shared" si="191"/>
        <v>2567900</v>
      </c>
      <c r="RZ25" s="887">
        <f>[1]Субвенция_факт!AE22*1000</f>
        <v>967900</v>
      </c>
      <c r="SA25" s="882">
        <f>[1]Субвенция_факт!AD22*1000</f>
        <v>0</v>
      </c>
      <c r="SB25" s="1158">
        <f>[1]Субвенция_факт!AC22*1000</f>
        <v>1600000</v>
      </c>
      <c r="SC25" s="535">
        <f t="shared" si="116"/>
        <v>1503988.12</v>
      </c>
      <c r="SD25" s="974">
        <v>582000</v>
      </c>
      <c r="SE25" s="1645"/>
      <c r="SF25" s="1652">
        <v>921988.12</v>
      </c>
      <c r="SG25" s="279">
        <f>'План и исполнение'!VI25+'План и исполнение'!VA25+'План и исполнение'!TA25+'План и исполнение'!TE25+UO25+UU25+SO25+SS25+TM25+TQ25+UE25+SI25+TY25</f>
        <v>0</v>
      </c>
      <c r="SH25" s="168">
        <f>'План и исполнение'!VK25+'План и исполнение'!VE25+'План и исполнение'!TC25+'План и исполнение'!TG25+UR25+UX25+SQ25+SU25+TO25+TS25+UH25+SL25+UB25</f>
        <v>0</v>
      </c>
      <c r="SI25" s="540">
        <f t="shared" si="117"/>
        <v>0</v>
      </c>
      <c r="SJ25" s="887">
        <f>'[1]Иные межбюджетные трансферты'!E23</f>
        <v>0</v>
      </c>
      <c r="SK25" s="945">
        <f>'[1]Иные межбюджетные трансферты'!G23</f>
        <v>0</v>
      </c>
      <c r="SL25" s="535">
        <f t="shared" si="118"/>
        <v>0</v>
      </c>
      <c r="SM25" s="1323"/>
      <c r="SN25" s="1464"/>
      <c r="SO25" s="1335">
        <f t="shared" si="192"/>
        <v>0</v>
      </c>
      <c r="SP25" s="1115">
        <f>'[1]Иные межбюджетные трансферты'!W23</f>
        <v>0</v>
      </c>
      <c r="SQ25" s="1333">
        <f t="shared" si="193"/>
        <v>0</v>
      </c>
      <c r="SR25" s="1334"/>
      <c r="SS25" s="1336">
        <f t="shared" si="194"/>
        <v>0</v>
      </c>
      <c r="ST25" s="1115">
        <f>'[1]Иные межбюджетные трансферты'!Y23</f>
        <v>0</v>
      </c>
      <c r="SU25" s="1344">
        <f t="shared" si="195"/>
        <v>0</v>
      </c>
      <c r="SV25" s="1334"/>
      <c r="SW25" s="1336">
        <f t="shared" si="196"/>
        <v>0</v>
      </c>
      <c r="SX25" s="1344">
        <f t="shared" si="197"/>
        <v>0</v>
      </c>
      <c r="SY25" s="1355">
        <f t="shared" si="198"/>
        <v>0</v>
      </c>
      <c r="SZ25" s="1344">
        <f t="shared" si="199"/>
        <v>0</v>
      </c>
      <c r="TA25" s="1350">
        <f t="shared" si="119"/>
        <v>0</v>
      </c>
      <c r="TB25" s="1115">
        <f>'[1]Иные межбюджетные трансферты'!AC23</f>
        <v>0</v>
      </c>
      <c r="TC25" s="965">
        <f t="shared" si="120"/>
        <v>0</v>
      </c>
      <c r="TD25" s="945"/>
      <c r="TE25" s="971">
        <f t="shared" si="121"/>
        <v>0</v>
      </c>
      <c r="TF25" s="1115">
        <f>'[1]Иные межбюджетные трансферты'!AE23</f>
        <v>0</v>
      </c>
      <c r="TG25" s="965">
        <f t="shared" si="122"/>
        <v>0</v>
      </c>
      <c r="TH25" s="1214"/>
      <c r="TI25" s="968">
        <f t="shared" si="123"/>
        <v>0</v>
      </c>
      <c r="TJ25" s="962">
        <f t="shared" si="124"/>
        <v>0</v>
      </c>
      <c r="TK25" s="1219">
        <f t="shared" si="200"/>
        <v>0</v>
      </c>
      <c r="TL25" s="962">
        <f t="shared" si="201"/>
        <v>0</v>
      </c>
      <c r="TM25" s="971">
        <f t="shared" si="125"/>
        <v>0</v>
      </c>
      <c r="TN25" s="1115">
        <f>'[1]Иные межбюджетные трансферты'!AI23</f>
        <v>0</v>
      </c>
      <c r="TO25" s="965">
        <f t="shared" si="126"/>
        <v>0</v>
      </c>
      <c r="TP25" s="945"/>
      <c r="TQ25" s="971">
        <f t="shared" si="127"/>
        <v>0</v>
      </c>
      <c r="TR25" s="1115">
        <f>'[1]Иные межбюджетные трансферты'!AK23</f>
        <v>0</v>
      </c>
      <c r="TS25" s="965">
        <f t="shared" si="128"/>
        <v>0</v>
      </c>
      <c r="TT25" s="1214"/>
      <c r="TU25" s="968">
        <f t="shared" si="129"/>
        <v>0</v>
      </c>
      <c r="TV25" s="962">
        <f t="shared" si="130"/>
        <v>0</v>
      </c>
      <c r="TW25" s="1219">
        <f t="shared" si="202"/>
        <v>0</v>
      </c>
      <c r="TX25" s="968">
        <f t="shared" si="203"/>
        <v>0</v>
      </c>
      <c r="TY25" s="971">
        <f t="shared" si="204"/>
        <v>0</v>
      </c>
      <c r="TZ25" s="1210"/>
      <c r="UA25" s="713"/>
      <c r="UB25" s="971">
        <f t="shared" si="205"/>
        <v>0</v>
      </c>
      <c r="UC25" s="810"/>
      <c r="UD25" s="717"/>
      <c r="UE25" s="971">
        <f t="shared" si="206"/>
        <v>0</v>
      </c>
      <c r="UF25" s="1210">
        <f>'[1]Иные межбюджетные трансферты'!AS23</f>
        <v>0</v>
      </c>
      <c r="UG25" s="713">
        <f>'[1]Иные межбюджетные трансферты'!AW23</f>
        <v>0</v>
      </c>
      <c r="UH25" s="965">
        <f t="shared" si="207"/>
        <v>0</v>
      </c>
      <c r="UI25" s="1484"/>
      <c r="UJ25" s="804"/>
      <c r="UK25" s="865">
        <f t="shared" si="208"/>
        <v>0</v>
      </c>
      <c r="UL25" s="865">
        <f t="shared" si="209"/>
        <v>0</v>
      </c>
      <c r="UM25" s="865">
        <f t="shared" si="210"/>
        <v>0</v>
      </c>
      <c r="UN25" s="1493">
        <f t="shared" si="211"/>
        <v>0</v>
      </c>
      <c r="UO25" s="1267">
        <f t="shared" si="131"/>
        <v>0</v>
      </c>
      <c r="UP25" s="1029">
        <f>'[1]Иные межбюджетные трансферты'!S23</f>
        <v>0</v>
      </c>
      <c r="UQ25" s="1266">
        <f>'[1]Иные межбюджетные трансферты'!U23</f>
        <v>0</v>
      </c>
      <c r="UR25" s="769">
        <f t="shared" si="132"/>
        <v>0</v>
      </c>
      <c r="US25" s="1029"/>
      <c r="UT25" s="1266"/>
      <c r="UU25" s="1267">
        <f t="shared" si="133"/>
        <v>0</v>
      </c>
      <c r="UV25" s="1029">
        <f>'[1]Иные межбюджетные трансферты'!O23</f>
        <v>0</v>
      </c>
      <c r="UW25" s="1266">
        <f>'[1]Иные межбюджетные трансферты'!Q23</f>
        <v>0</v>
      </c>
      <c r="UX25" s="769">
        <f t="shared" si="134"/>
        <v>0</v>
      </c>
      <c r="UY25" s="1029"/>
      <c r="UZ25" s="1266"/>
      <c r="VA25" s="888">
        <f t="shared" si="212"/>
        <v>0</v>
      </c>
      <c r="VB25" s="887">
        <f>'[1]Иные межбюджетные трансферты'!I23</f>
        <v>0</v>
      </c>
      <c r="VC25" s="945">
        <f>'[1]Иные межбюджетные трансферты'!K23</f>
        <v>0</v>
      </c>
      <c r="VD25" s="1158">
        <f>'[1]Иные межбюджетные трансферты'!M23</f>
        <v>0</v>
      </c>
      <c r="VE25" s="888">
        <f t="shared" si="213"/>
        <v>0</v>
      </c>
      <c r="VF25" s="980"/>
      <c r="VG25" s="978"/>
      <c r="VH25" s="1323"/>
      <c r="VI25" s="528">
        <f t="shared" si="135"/>
        <v>0</v>
      </c>
      <c r="VJ25" s="882"/>
      <c r="VK25" s="888">
        <f t="shared" si="136"/>
        <v>0</v>
      </c>
      <c r="VL25" s="531"/>
      <c r="VM25" s="893">
        <f t="shared" si="137"/>
        <v>0</v>
      </c>
      <c r="VN25" s="529"/>
      <c r="VO25" s="893">
        <f t="shared" si="138"/>
        <v>0</v>
      </c>
      <c r="VP25" s="529"/>
      <c r="VQ25" s="893">
        <f t="shared" si="139"/>
        <v>0</v>
      </c>
      <c r="VR25" s="882"/>
      <c r="VS25" s="1028">
        <f t="shared" si="140"/>
        <v>0</v>
      </c>
      <c r="VT25" s="531"/>
      <c r="VU25" s="535">
        <f>VW25+'План и исполнение'!WE25+WA25+'План и исполнение'!WI25+WC25+'План и исполнение'!WK25</f>
        <v>-14570000</v>
      </c>
      <c r="VV25" s="535">
        <f>VX25+'План и исполнение'!WF25+WB25+'План и исполнение'!WJ25+WD25+'План и исполнение'!WL25</f>
        <v>-9820000</v>
      </c>
      <c r="VW25" s="549"/>
      <c r="VX25" s="549"/>
      <c r="VY25" s="549"/>
      <c r="VZ25" s="549"/>
      <c r="WA25" s="546">
        <f t="shared" si="141"/>
        <v>0</v>
      </c>
      <c r="WB25" s="544">
        <f t="shared" si="142"/>
        <v>0</v>
      </c>
      <c r="WC25" s="550"/>
      <c r="WD25" s="539"/>
      <c r="WE25" s="549">
        <v>-14000000</v>
      </c>
      <c r="WF25" s="549">
        <v>-9500000</v>
      </c>
      <c r="WG25" s="549">
        <v>-570000</v>
      </c>
      <c r="WH25" s="549">
        <f>-170000-150000</f>
        <v>-320000</v>
      </c>
      <c r="WI25" s="546">
        <f t="shared" si="143"/>
        <v>-570000</v>
      </c>
      <c r="WJ25" s="544">
        <f t="shared" si="144"/>
        <v>-320000</v>
      </c>
      <c r="WK25" s="539"/>
      <c r="WL25" s="539"/>
      <c r="WM25" s="1547">
        <f>'План и исполнение'!WE25+'План и исполнение'!WG25</f>
        <v>-14570000</v>
      </c>
      <c r="WN25" s="1547">
        <f>'План и исполнение'!WF25+'План и исполнение'!WH25</f>
        <v>-9820000</v>
      </c>
      <c r="WO25" s="1154"/>
    </row>
    <row r="26" spans="1:613" s="340" customFormat="1" ht="25.5" customHeight="1" x14ac:dyDescent="0.3">
      <c r="A26" s="350" t="s">
        <v>93</v>
      </c>
      <c r="B26" s="542">
        <f>D26+AI26+'План и исполнение'!RA26+'План и исполнение'!SG26</f>
        <v>655293323.16999996</v>
      </c>
      <c r="C26" s="535">
        <f>E26+'План и исполнение'!RD26+AJ26+'План и исполнение'!SH26</f>
        <v>264717108.35999998</v>
      </c>
      <c r="D26" s="540">
        <f t="shared" si="0"/>
        <v>73534642</v>
      </c>
      <c r="E26" s="542">
        <f t="shared" si="1"/>
        <v>42272550</v>
      </c>
      <c r="F26" s="603">
        <f>'[1]Дотация  из  ОБ_факт'!M22</f>
        <v>29672300</v>
      </c>
      <c r="G26" s="1551">
        <v>18556000</v>
      </c>
      <c r="H26" s="1556">
        <f>'[1]Дотация  из  ОБ_факт'!G22</f>
        <v>27120000</v>
      </c>
      <c r="I26" s="1551">
        <v>13541190</v>
      </c>
      <c r="J26" s="604">
        <f t="shared" si="2"/>
        <v>27120000</v>
      </c>
      <c r="K26" s="611">
        <f t="shared" si="3"/>
        <v>13541190</v>
      </c>
      <c r="L26" s="891">
        <f>'[1]Дотация  из  ОБ_факт'!K22</f>
        <v>0</v>
      </c>
      <c r="M26" s="782"/>
      <c r="N26" s="603">
        <f>'[1]Дотация  из  ОБ_факт'!Q22</f>
        <v>688500</v>
      </c>
      <c r="O26" s="1054">
        <v>688500</v>
      </c>
      <c r="P26" s="603">
        <f>'[1]Дотация  из  ОБ_факт'!S22</f>
        <v>12280700</v>
      </c>
      <c r="Q26" s="1048">
        <v>7859360</v>
      </c>
      <c r="R26" s="611">
        <f t="shared" si="4"/>
        <v>12280700</v>
      </c>
      <c r="S26" s="605">
        <f t="shared" si="5"/>
        <v>7859360</v>
      </c>
      <c r="T26" s="891">
        <f>'[1]Дотация  из  ОБ_факт'!W22</f>
        <v>0</v>
      </c>
      <c r="U26" s="643"/>
      <c r="V26" s="603">
        <f>'[1]Дотация  из  ОБ_факт'!AA22+'[1]Дотация  из  ОБ_факт'!AC22+'[1]Дотация  из  ОБ_факт'!AG22</f>
        <v>3645642</v>
      </c>
      <c r="W26" s="465">
        <f t="shared" si="6"/>
        <v>1500000</v>
      </c>
      <c r="X26" s="607">
        <v>1500000</v>
      </c>
      <c r="Y26" s="606"/>
      <c r="Z26" s="607"/>
      <c r="AA26" s="603">
        <f>'[1]Дотация  из  ОБ_факт'!Y22+'[1]Дотация  из  ОБ_факт'!AE22</f>
        <v>127500</v>
      </c>
      <c r="AB26" s="170">
        <f t="shared" si="7"/>
        <v>127500</v>
      </c>
      <c r="AC26" s="606">
        <v>127500</v>
      </c>
      <c r="AD26" s="607"/>
      <c r="AE26" s="604">
        <f t="shared" si="8"/>
        <v>127500</v>
      </c>
      <c r="AF26" s="611">
        <f t="shared" si="9"/>
        <v>127500</v>
      </c>
      <c r="AG26" s="604">
        <f>'[1]Дотация  из  ОБ_факт'!AE22</f>
        <v>0</v>
      </c>
      <c r="AH26" s="772"/>
      <c r="AI26" s="599">
        <f>'План и исполнение'!LQ26+'План и исполнение'!QS26+'План и исполнение'!QU26+CQ26+CS26+CY26+DA26+BS26+CA26+'План и исполнение'!JQ26+'План и исполнение'!KA26+'План и исполнение'!EC26+'План и исполнение'!LE26+DM26+'План и исполнение'!IM26+'План и исполнение'!IS26+'План и исполнение'!MM26+'План и исполнение'!MU26+IG26+'План и исполнение'!MA26+FK26+EY26+PO26+ES26+AK26+AU26+FE26+JK26+GG26+GQ26+DG26+PU26+FQ26+EI26+QA26+NY26+GA26+CM26+HU26+IA26+NS26</f>
        <v>295403404.16999996</v>
      </c>
      <c r="AJ26" s="504">
        <f>'План и исполнение'!LV26+'План и исполнение'!QT26+'План и исполнение'!QV26+CR26+CT26+CZ26+DB26+BW26+CE26+'План и исполнение'!JV26+'План и исполнение'!KF26+'План и исполнение'!EF26+'План и исполнение'!LK26+DU26+'План и исполнение'!IP26+'План и исполнение'!IV26+'План и исполнение'!MQ26+'План и исполнение'!MY26+IJ26+'План и исполнение'!ME26+FH26+FN26+FB26+PR26+EV26+AP26+AY26+JN26+GL26+GV26+DJ26+PX26+FT26+EN26+QD26+OF26+GD26+CO26+HX26+ID26+NV26</f>
        <v>38314495.289999999</v>
      </c>
      <c r="AK26" s="504">
        <f t="shared" si="10"/>
        <v>0</v>
      </c>
      <c r="AL26" s="343">
        <f>[1]Субсидия_факт!DB24</f>
        <v>0</v>
      </c>
      <c r="AM26" s="516">
        <f>[1]Субсидия_факт!FF24</f>
        <v>0</v>
      </c>
      <c r="AN26" s="514">
        <f>[1]Субсидия_факт!FR24</f>
        <v>0</v>
      </c>
      <c r="AO26" s="516">
        <f>[1]Субсидия_факт!MZ24</f>
        <v>0</v>
      </c>
      <c r="AP26" s="504">
        <f t="shared" si="11"/>
        <v>0</v>
      </c>
      <c r="AQ26" s="479"/>
      <c r="AR26" s="479"/>
      <c r="AS26" s="479"/>
      <c r="AT26" s="479"/>
      <c r="AU26" s="504">
        <f t="shared" si="12"/>
        <v>0</v>
      </c>
      <c r="AV26" s="469">
        <f>[1]Субсидия_факт!DD24</f>
        <v>0</v>
      </c>
      <c r="AW26" s="343">
        <f>[1]Субсидия_факт!FJ24</f>
        <v>0</v>
      </c>
      <c r="AX26" s="514">
        <f>[1]Субсидия_факт!NB24</f>
        <v>0</v>
      </c>
      <c r="AY26" s="504">
        <f t="shared" si="13"/>
        <v>0</v>
      </c>
      <c r="AZ26" s="547"/>
      <c r="BA26" s="547"/>
      <c r="BB26" s="548"/>
      <c r="BC26" s="697">
        <f t="shared" si="14"/>
        <v>0</v>
      </c>
      <c r="BD26" s="680">
        <f t="shared" si="15"/>
        <v>0</v>
      </c>
      <c r="BE26" s="469">
        <f t="shared" si="16"/>
        <v>0</v>
      </c>
      <c r="BF26" s="343">
        <f t="shared" si="17"/>
        <v>0</v>
      </c>
      <c r="BG26" s="697">
        <f t="shared" si="18"/>
        <v>0</v>
      </c>
      <c r="BH26" s="647">
        <f t="shared" si="19"/>
        <v>0</v>
      </c>
      <c r="BI26" s="514">
        <f t="shared" si="20"/>
        <v>0</v>
      </c>
      <c r="BJ26" s="343">
        <f t="shared" si="21"/>
        <v>0</v>
      </c>
      <c r="BK26" s="697">
        <f t="shared" si="22"/>
        <v>0</v>
      </c>
      <c r="BL26" s="469">
        <f>[1]Субсидия_факт!DF24</f>
        <v>0</v>
      </c>
      <c r="BM26" s="343">
        <f>[1]Субсидия_факт!FL24</f>
        <v>0</v>
      </c>
      <c r="BN26" s="469">
        <f>[1]Субсидия_факт!ND24</f>
        <v>0</v>
      </c>
      <c r="BO26" s="697">
        <f t="shared" si="23"/>
        <v>0</v>
      </c>
      <c r="BP26" s="548"/>
      <c r="BQ26" s="547"/>
      <c r="BR26" s="548"/>
      <c r="BS26" s="535">
        <f t="shared" si="145"/>
        <v>19740919</v>
      </c>
      <c r="BT26" s="449">
        <f>[1]Субсидия_факт!IL24</f>
        <v>0</v>
      </c>
      <c r="BU26" s="343">
        <f>[1]Субсидия_факт!IR24</f>
        <v>19740919</v>
      </c>
      <c r="BV26" s="529">
        <f>[1]Субсидия_факт!JD24</f>
        <v>0</v>
      </c>
      <c r="BW26" s="535">
        <f t="shared" si="146"/>
        <v>0</v>
      </c>
      <c r="BX26" s="547"/>
      <c r="BY26" s="547"/>
      <c r="BZ26" s="650"/>
      <c r="CA26" s="535">
        <f t="shared" si="147"/>
        <v>0</v>
      </c>
      <c r="CB26" s="469">
        <f>[1]Субсидия_факт!IN24</f>
        <v>0</v>
      </c>
      <c r="CC26" s="343">
        <f>[1]Субсидия_факт!IT24</f>
        <v>0</v>
      </c>
      <c r="CD26" s="529">
        <f>[1]Субсидия_факт!JF24</f>
        <v>0</v>
      </c>
      <c r="CE26" s="535">
        <f t="shared" si="148"/>
        <v>0</v>
      </c>
      <c r="CF26" s="547"/>
      <c r="CG26" s="548"/>
      <c r="CH26" s="760"/>
      <c r="CI26" s="546">
        <f t="shared" si="24"/>
        <v>0</v>
      </c>
      <c r="CJ26" s="544">
        <f t="shared" si="25"/>
        <v>0</v>
      </c>
      <c r="CK26" s="543">
        <f t="shared" si="149"/>
        <v>0</v>
      </c>
      <c r="CL26" s="546">
        <f t="shared" si="150"/>
        <v>0</v>
      </c>
      <c r="CM26" s="965">
        <f t="shared" si="151"/>
        <v>0</v>
      </c>
      <c r="CN26" s="721">
        <f>[1]Субсидия_факт!FT24</f>
        <v>0</v>
      </c>
      <c r="CO26" s="965">
        <f t="shared" si="151"/>
        <v>0</v>
      </c>
      <c r="CP26" s="721"/>
      <c r="CQ26" s="534">
        <f>[1]Субсидия_факт!FV24</f>
        <v>0</v>
      </c>
      <c r="CR26" s="644"/>
      <c r="CS26" s="535">
        <f>[1]Субсидия_факт!FX24</f>
        <v>0</v>
      </c>
      <c r="CT26" s="644"/>
      <c r="CU26" s="544">
        <f t="shared" si="26"/>
        <v>0</v>
      </c>
      <c r="CV26" s="543">
        <f t="shared" si="27"/>
        <v>0</v>
      </c>
      <c r="CW26" s="610">
        <f>[1]Субсидия_факт!FZ24</f>
        <v>0</v>
      </c>
      <c r="CX26" s="643"/>
      <c r="CY26" s="542">
        <f>[1]Субсидия_факт!GB24</f>
        <v>0</v>
      </c>
      <c r="CZ26" s="341"/>
      <c r="DA26" s="534">
        <f>[1]Субсидия_факт!GD24</f>
        <v>0</v>
      </c>
      <c r="DB26" s="644"/>
      <c r="DC26" s="544">
        <f t="shared" si="28"/>
        <v>0</v>
      </c>
      <c r="DD26" s="544">
        <f t="shared" si="29"/>
        <v>0</v>
      </c>
      <c r="DE26" s="691">
        <f>[1]Субсидия_факт!GF24</f>
        <v>0</v>
      </c>
      <c r="DF26" s="342"/>
      <c r="DG26" s="504">
        <f t="shared" si="30"/>
        <v>0</v>
      </c>
      <c r="DH26" s="529">
        <f>[1]Субсидия_факт!EV24</f>
        <v>0</v>
      </c>
      <c r="DI26" s="896">
        <f>[1]Субсидия_факт!EX24</f>
        <v>0</v>
      </c>
      <c r="DJ26" s="471">
        <f t="shared" si="31"/>
        <v>0</v>
      </c>
      <c r="DK26" s="809"/>
      <c r="DL26" s="1083"/>
      <c r="DM26" s="542">
        <f t="shared" si="32"/>
        <v>0</v>
      </c>
      <c r="DN26" s="541">
        <f>[1]Субсидия_факт!R24</f>
        <v>0</v>
      </c>
      <c r="DO26" s="1210">
        <f>[1]Субсидия_факт!T24</f>
        <v>0</v>
      </c>
      <c r="DP26" s="713">
        <f>[1]Субсидия_факт!V24</f>
        <v>0</v>
      </c>
      <c r="DQ26" s="673">
        <f>[1]Субсидия_факт!X24</f>
        <v>0</v>
      </c>
      <c r="DR26" s="814">
        <f>[1]Субсидия_факт!Z24</f>
        <v>0</v>
      </c>
      <c r="DS26" s="516">
        <f>[1]Субсидия_факт!AB24</f>
        <v>0</v>
      </c>
      <c r="DT26" s="673">
        <f>[1]Субсидия_факт!AD24</f>
        <v>0</v>
      </c>
      <c r="DU26" s="535">
        <f t="shared" si="33"/>
        <v>0</v>
      </c>
      <c r="DV26" s="548"/>
      <c r="DW26" s="547"/>
      <c r="DX26" s="717"/>
      <c r="DY26" s="547"/>
      <c r="DZ26" s="717"/>
      <c r="EA26" s="548"/>
      <c r="EB26" s="1210">
        <f t="shared" si="214"/>
        <v>0</v>
      </c>
      <c r="EC26" s="504">
        <f t="shared" si="34"/>
        <v>0</v>
      </c>
      <c r="ED26" s="529">
        <f>[1]Субсидия_факт!BN24</f>
        <v>0</v>
      </c>
      <c r="EE26" s="896">
        <f>[1]Субсидия_факт!BP24</f>
        <v>0</v>
      </c>
      <c r="EF26" s="471">
        <f t="shared" si="35"/>
        <v>0</v>
      </c>
      <c r="EG26" s="809"/>
      <c r="EH26" s="1083"/>
      <c r="EI26" s="542">
        <f t="shared" si="152"/>
        <v>0</v>
      </c>
      <c r="EJ26" s="469">
        <f>[1]Субсидия_факт!AJ24</f>
        <v>0</v>
      </c>
      <c r="EK26" s="721">
        <f>[1]Субсидия_факт!AL24</f>
        <v>0</v>
      </c>
      <c r="EL26" s="449">
        <f>[1]Субсидия_факт!AN24</f>
        <v>0</v>
      </c>
      <c r="EM26" s="721">
        <f>[1]Субсидия_факт!AP24</f>
        <v>0</v>
      </c>
      <c r="EN26" s="535">
        <f t="shared" si="153"/>
        <v>0</v>
      </c>
      <c r="EO26" s="479"/>
      <c r="EP26" s="717"/>
      <c r="EQ26" s="479"/>
      <c r="ER26" s="717"/>
      <c r="ES26" s="504">
        <f t="shared" si="36"/>
        <v>0</v>
      </c>
      <c r="ET26" s="529">
        <f>[1]Субсидия_факт!AX24</f>
        <v>0</v>
      </c>
      <c r="EU26" s="789">
        <f>[1]Субсидия_факт!AZ24</f>
        <v>0</v>
      </c>
      <c r="EV26" s="471">
        <f t="shared" si="37"/>
        <v>0</v>
      </c>
      <c r="EW26" s="809"/>
      <c r="EX26" s="708"/>
      <c r="EY26" s="504">
        <f t="shared" si="38"/>
        <v>0</v>
      </c>
      <c r="EZ26" s="529">
        <f>[1]Субсидия_факт!BZ24</f>
        <v>0</v>
      </c>
      <c r="FA26" s="896">
        <f>[1]Субсидия_факт!CB24</f>
        <v>0</v>
      </c>
      <c r="FB26" s="471">
        <f t="shared" si="39"/>
        <v>0</v>
      </c>
      <c r="FC26" s="809"/>
      <c r="FD26" s="708"/>
      <c r="FE26" s="504">
        <f t="shared" si="40"/>
        <v>0</v>
      </c>
      <c r="FF26" s="529">
        <f>[1]Субсидия_факт!BR24</f>
        <v>0</v>
      </c>
      <c r="FG26" s="896">
        <f>[1]Субсидия_факт!BT24</f>
        <v>0</v>
      </c>
      <c r="FH26" s="471">
        <f t="shared" si="41"/>
        <v>0</v>
      </c>
      <c r="FI26" s="809"/>
      <c r="FJ26" s="708"/>
      <c r="FK26" s="504">
        <f t="shared" si="42"/>
        <v>0</v>
      </c>
      <c r="FL26" s="529">
        <f>[1]Субсидия_факт!KJ24</f>
        <v>0</v>
      </c>
      <c r="FM26" s="896">
        <f>[1]Субсидия_факт!KL24</f>
        <v>0</v>
      </c>
      <c r="FN26" s="471">
        <f t="shared" si="43"/>
        <v>0</v>
      </c>
      <c r="FO26" s="809"/>
      <c r="FP26" s="708"/>
      <c r="FQ26" s="504">
        <f t="shared" si="44"/>
        <v>0</v>
      </c>
      <c r="FR26" s="529">
        <f>[1]Субсидия_факт!KN24</f>
        <v>0</v>
      </c>
      <c r="FS26" s="896">
        <f>[1]Субсидия_факт!KR24</f>
        <v>0</v>
      </c>
      <c r="FT26" s="471">
        <f t="shared" si="45"/>
        <v>0</v>
      </c>
      <c r="FU26" s="809"/>
      <c r="FV26" s="708"/>
      <c r="FW26" s="695">
        <f t="shared" si="154"/>
        <v>0</v>
      </c>
      <c r="FX26" s="697">
        <f t="shared" si="155"/>
        <v>0</v>
      </c>
      <c r="FY26" s="695">
        <f t="shared" si="156"/>
        <v>0</v>
      </c>
      <c r="FZ26" s="697">
        <f t="shared" si="157"/>
        <v>0</v>
      </c>
      <c r="GA26" s="504">
        <f t="shared" si="158"/>
        <v>0</v>
      </c>
      <c r="GB26" s="1374">
        <f>[1]Субсидия_факт!BJ24</f>
        <v>0</v>
      </c>
      <c r="GC26" s="706">
        <f>[1]Субсидия_факт!BL24</f>
        <v>0</v>
      </c>
      <c r="GD26" s="504">
        <f t="shared" si="159"/>
        <v>0</v>
      </c>
      <c r="GE26" s="760"/>
      <c r="GF26" s="708"/>
      <c r="GG26" s="504">
        <f t="shared" si="46"/>
        <v>0</v>
      </c>
      <c r="GH26" s="760"/>
      <c r="GI26" s="708"/>
      <c r="GJ26" s="529"/>
      <c r="GK26" s="896"/>
      <c r="GL26" s="471">
        <f t="shared" si="47"/>
        <v>0</v>
      </c>
      <c r="GM26" s="760"/>
      <c r="GN26" s="708"/>
      <c r="GO26" s="760"/>
      <c r="GP26" s="708"/>
      <c r="GQ26" s="471">
        <f t="shared" si="160"/>
        <v>4570215.84</v>
      </c>
      <c r="GR26" s="1374">
        <f>[1]Субсидия_факт!GJ24</f>
        <v>345046.39</v>
      </c>
      <c r="GS26" s="706">
        <f>[1]Субсидия_факт!GN24</f>
        <v>0</v>
      </c>
      <c r="GT26" s="529">
        <f>[1]Субсидия_факт!GX24</f>
        <v>2479833.21</v>
      </c>
      <c r="GU26" s="896">
        <f>[1]Субсидия_факт!HB24</f>
        <v>1745336.24</v>
      </c>
      <c r="GV26" s="471">
        <f t="shared" si="161"/>
        <v>710709.19</v>
      </c>
      <c r="GW26" s="760"/>
      <c r="GX26" s="708"/>
      <c r="GY26" s="760">
        <v>417128.89</v>
      </c>
      <c r="GZ26" s="708">
        <v>293580.3</v>
      </c>
      <c r="HA26" s="695">
        <f t="shared" si="162"/>
        <v>4570215.84</v>
      </c>
      <c r="HB26" s="1374">
        <f t="shared" si="48"/>
        <v>345046.39</v>
      </c>
      <c r="HC26" s="1375">
        <f t="shared" si="49"/>
        <v>0</v>
      </c>
      <c r="HD26" s="529">
        <f t="shared" si="50"/>
        <v>2479833.21</v>
      </c>
      <c r="HE26" s="896">
        <f t="shared" si="51"/>
        <v>1745336.24</v>
      </c>
      <c r="HF26" s="695">
        <f t="shared" si="163"/>
        <v>710709.19</v>
      </c>
      <c r="HG26" s="1374">
        <f t="shared" si="52"/>
        <v>0</v>
      </c>
      <c r="HH26" s="1375">
        <f t="shared" si="53"/>
        <v>0</v>
      </c>
      <c r="HI26" s="529">
        <f t="shared" si="54"/>
        <v>417128.89</v>
      </c>
      <c r="HJ26" s="896">
        <f t="shared" si="55"/>
        <v>293580.3</v>
      </c>
      <c r="HK26" s="695">
        <f t="shared" si="164"/>
        <v>0</v>
      </c>
      <c r="HL26" s="1374">
        <f>[1]Субсидия_факт!GL24</f>
        <v>0</v>
      </c>
      <c r="HM26" s="706">
        <f>[1]Субсидия_факт!GP24</f>
        <v>0</v>
      </c>
      <c r="HN26" s="529">
        <f>[1]Субсидия_факт!GZ24</f>
        <v>0</v>
      </c>
      <c r="HO26" s="896">
        <f>[1]Субсидия_факт!HD24</f>
        <v>0</v>
      </c>
      <c r="HP26" s="695">
        <f t="shared" si="165"/>
        <v>0</v>
      </c>
      <c r="HQ26" s="760"/>
      <c r="HR26" s="708"/>
      <c r="HS26" s="760"/>
      <c r="HT26" s="708"/>
      <c r="HU26" s="542">
        <f t="shared" si="56"/>
        <v>0</v>
      </c>
      <c r="HV26" s="531">
        <f>[1]Субсидия_факт!N24</f>
        <v>0</v>
      </c>
      <c r="HW26" s="789">
        <f>[1]Субсидия_факт!P24</f>
        <v>0</v>
      </c>
      <c r="HX26" s="535">
        <f t="shared" si="57"/>
        <v>0</v>
      </c>
      <c r="HY26" s="547"/>
      <c r="HZ26" s="739"/>
      <c r="IA26" s="542">
        <f t="shared" si="58"/>
        <v>0</v>
      </c>
      <c r="IB26" s="541">
        <f>[1]Субсидия_факт!DZ24</f>
        <v>0</v>
      </c>
      <c r="IC26" s="721">
        <f>[1]Субсидия_факт!EB24</f>
        <v>0</v>
      </c>
      <c r="ID26" s="534">
        <f t="shared" si="59"/>
        <v>0</v>
      </c>
      <c r="IE26" s="547"/>
      <c r="IF26" s="739"/>
      <c r="IG26" s="542">
        <f t="shared" si="166"/>
        <v>0</v>
      </c>
      <c r="IH26" s="531">
        <f>[1]Субсидия_факт!EP24</f>
        <v>0</v>
      </c>
      <c r="II26" s="789">
        <f>[1]Субсидия_факт!ER24</f>
        <v>0</v>
      </c>
      <c r="IJ26" s="535">
        <f t="shared" si="167"/>
        <v>0</v>
      </c>
      <c r="IK26" s="547"/>
      <c r="IL26" s="739"/>
      <c r="IM26" s="599">
        <f t="shared" si="62"/>
        <v>0</v>
      </c>
      <c r="IN26" s="529">
        <f>[1]Субсидия_факт!ED24</f>
        <v>0</v>
      </c>
      <c r="IO26" s="896">
        <f>[1]Субсидия_факт!EJ24</f>
        <v>0</v>
      </c>
      <c r="IP26" s="471">
        <f t="shared" si="63"/>
        <v>0</v>
      </c>
      <c r="IQ26" s="760"/>
      <c r="IR26" s="708"/>
      <c r="IS26" s="471">
        <f t="shared" si="64"/>
        <v>1046660.7999999999</v>
      </c>
      <c r="IT26" s="529">
        <f>[1]Субсидия_факт!EF24</f>
        <v>293066.45999999996</v>
      </c>
      <c r="IU26" s="789">
        <f>[1]Субсидия_факт!EL24</f>
        <v>753594.34</v>
      </c>
      <c r="IV26" s="471">
        <f t="shared" si="65"/>
        <v>1046660.8</v>
      </c>
      <c r="IW26" s="650">
        <v>293066.46000000002</v>
      </c>
      <c r="IX26" s="742">
        <v>753594.34</v>
      </c>
      <c r="IY26" s="697">
        <f t="shared" si="66"/>
        <v>1046660.7999999999</v>
      </c>
      <c r="IZ26" s="787">
        <f>'План и исполнение'!IT26-'План и исполнение'!JF26</f>
        <v>293066.45999999996</v>
      </c>
      <c r="JA26" s="706">
        <f>'План и исполнение'!IU26-'План и исполнение'!JG26</f>
        <v>753594.34</v>
      </c>
      <c r="JB26" s="691">
        <f t="shared" si="67"/>
        <v>1046660.8</v>
      </c>
      <c r="JC26" s="793">
        <f>'План и исполнение'!IW26-'План и исполнение'!JI26</f>
        <v>293066.46000000002</v>
      </c>
      <c r="JD26" s="804">
        <f>'План и исполнение'!IX26-'План и исполнение'!JJ26</f>
        <v>753594.34</v>
      </c>
      <c r="JE26" s="697">
        <f t="shared" si="68"/>
        <v>0</v>
      </c>
      <c r="JF26" s="529">
        <f>[1]Субсидия_факт!EH24</f>
        <v>0</v>
      </c>
      <c r="JG26" s="896">
        <f>[1]Субсидия_факт!EN24</f>
        <v>0</v>
      </c>
      <c r="JH26" s="697">
        <f t="shared" si="69"/>
        <v>0</v>
      </c>
      <c r="JI26" s="529"/>
      <c r="JJ26" s="789"/>
      <c r="JK26" s="471">
        <f t="shared" si="70"/>
        <v>0</v>
      </c>
      <c r="JL26" s="793">
        <f>[1]Субсидия_факт!AR24</f>
        <v>0</v>
      </c>
      <c r="JM26" s="706">
        <f>[1]Субсидия_факт!AT24</f>
        <v>0</v>
      </c>
      <c r="JN26" s="471">
        <f t="shared" si="71"/>
        <v>0</v>
      </c>
      <c r="JO26" s="650"/>
      <c r="JP26" s="708"/>
      <c r="JQ26" s="785">
        <f t="shared" si="72"/>
        <v>43589.270000000004</v>
      </c>
      <c r="JR26" s="793">
        <f>[1]Субсидия_факт!CJ24</f>
        <v>0</v>
      </c>
      <c r="JS26" s="706">
        <f>[1]Субсидия_факт!CP24</f>
        <v>0</v>
      </c>
      <c r="JT26" s="529">
        <f>[1]Субсидия_факт!DN24</f>
        <v>20387.87</v>
      </c>
      <c r="JU26" s="896">
        <f>[1]Субсидия_факт!DT24</f>
        <v>23201.4</v>
      </c>
      <c r="JV26" s="471">
        <f t="shared" si="73"/>
        <v>0</v>
      </c>
      <c r="JW26" s="650"/>
      <c r="JX26" s="708"/>
      <c r="JY26" s="650"/>
      <c r="JZ26" s="892"/>
      <c r="KA26" s="785">
        <f t="shared" si="74"/>
        <v>0</v>
      </c>
      <c r="KB26" s="793">
        <f>[1]Субсидия_факт!CL24</f>
        <v>0</v>
      </c>
      <c r="KC26" s="706">
        <f>[1]Субсидия_факт!CR24</f>
        <v>0</v>
      </c>
      <c r="KD26" s="529">
        <f>[1]Субсидия_факт!DP24</f>
        <v>0</v>
      </c>
      <c r="KE26" s="896">
        <f>[1]Субсидия_факт!DV24</f>
        <v>0</v>
      </c>
      <c r="KF26" s="471">
        <f t="shared" si="75"/>
        <v>0</v>
      </c>
      <c r="KG26" s="650"/>
      <c r="KH26" s="708"/>
      <c r="KI26" s="809"/>
      <c r="KJ26" s="708"/>
      <c r="KK26" s="788">
        <f t="shared" si="76"/>
        <v>0</v>
      </c>
      <c r="KL26" s="793">
        <f>'План и исполнение'!KB26-KV26</f>
        <v>0</v>
      </c>
      <c r="KM26" s="706">
        <f>'План и исполнение'!KC26-KW26</f>
        <v>0</v>
      </c>
      <c r="KN26" s="787">
        <f>'План и исполнение'!KD26-KX26</f>
        <v>0</v>
      </c>
      <c r="KO26" s="706">
        <f>'План и исполнение'!KE26-KY26</f>
        <v>0</v>
      </c>
      <c r="KP26" s="788">
        <f t="shared" si="77"/>
        <v>0</v>
      </c>
      <c r="KQ26" s="793">
        <f>'План и исполнение'!KG26-LA26</f>
        <v>0</v>
      </c>
      <c r="KR26" s="830">
        <f>'План и исполнение'!KH26-LB26</f>
        <v>0</v>
      </c>
      <c r="KS26" s="793">
        <f>'План и исполнение'!KI26-LC26</f>
        <v>0</v>
      </c>
      <c r="KT26" s="804">
        <f>'План и исполнение'!KJ26-LD26</f>
        <v>0</v>
      </c>
      <c r="KU26" s="697">
        <f t="shared" si="78"/>
        <v>0</v>
      </c>
      <c r="KV26" s="793">
        <f>[1]Субсидия_факт!CN24</f>
        <v>0</v>
      </c>
      <c r="KW26" s="706">
        <f>[1]Субсидия_факт!CT24</f>
        <v>0</v>
      </c>
      <c r="KX26" s="529">
        <f>[1]Субсидия_факт!DR24</f>
        <v>0</v>
      </c>
      <c r="KY26" s="896">
        <f>[1]Субсидия_факт!DX24</f>
        <v>0</v>
      </c>
      <c r="KZ26" s="697">
        <f t="shared" si="79"/>
        <v>0</v>
      </c>
      <c r="LA26" s="650"/>
      <c r="LB26" s="708"/>
      <c r="LC26" s="531"/>
      <c r="LD26" s="1639"/>
      <c r="LE26" s="504">
        <f t="shared" si="168"/>
        <v>0</v>
      </c>
      <c r="LF26" s="529">
        <f>[1]Субсидия_факт!CD24</f>
        <v>0</v>
      </c>
      <c r="LG26" s="789">
        <f>[1]Субсидия_факт!CF24</f>
        <v>0</v>
      </c>
      <c r="LH26" s="529">
        <f>[1]Субсидия_факт!BV24</f>
        <v>0</v>
      </c>
      <c r="LI26" s="789">
        <f>[1]Субсидия_факт!BX24</f>
        <v>0</v>
      </c>
      <c r="LJ26" s="529">
        <f>[1]Субсидия_факт!CH24</f>
        <v>0</v>
      </c>
      <c r="LK26" s="471">
        <f t="shared" si="169"/>
        <v>0</v>
      </c>
      <c r="LL26" s="650"/>
      <c r="LM26" s="708"/>
      <c r="LN26" s="650"/>
      <c r="LO26" s="708"/>
      <c r="LP26" s="650"/>
      <c r="LQ26" s="504">
        <f t="shared" si="80"/>
        <v>0</v>
      </c>
      <c r="LR26" s="516">
        <f>[1]Субсидия_факт!HN24</f>
        <v>0</v>
      </c>
      <c r="LS26" s="529">
        <f>[1]Субсидия_факт!HL24</f>
        <v>0</v>
      </c>
      <c r="LT26" s="541">
        <f>[1]Субсидия_факт!HV24</f>
        <v>0</v>
      </c>
      <c r="LU26" s="721">
        <f>[1]Субсидия_факт!HX24</f>
        <v>0</v>
      </c>
      <c r="LV26" s="471">
        <f t="shared" si="81"/>
        <v>0</v>
      </c>
      <c r="LW26" s="344"/>
      <c r="LX26" s="650"/>
      <c r="LY26" s="479"/>
      <c r="LZ26" s="717"/>
      <c r="MA26" s="471">
        <f t="shared" si="82"/>
        <v>0</v>
      </c>
      <c r="MB26" s="531">
        <f>[1]Субсидия_факт!HT24</f>
        <v>0</v>
      </c>
      <c r="MC26" s="531">
        <f>[1]Субсидия_факт!HP24</f>
        <v>0</v>
      </c>
      <c r="MD26" s="789">
        <f>[1]Субсидия_факт!HR24</f>
        <v>0</v>
      </c>
      <c r="ME26" s="471">
        <f t="shared" si="83"/>
        <v>0</v>
      </c>
      <c r="MF26" s="793">
        <f t="shared" si="170"/>
        <v>0</v>
      </c>
      <c r="MG26" s="650"/>
      <c r="MH26" s="708"/>
      <c r="MI26" s="893">
        <f t="shared" si="84"/>
        <v>0</v>
      </c>
      <c r="MJ26" s="893">
        <f t="shared" si="85"/>
        <v>0</v>
      </c>
      <c r="MK26" s="695">
        <f t="shared" si="86"/>
        <v>0</v>
      </c>
      <c r="ML26" s="1028">
        <f t="shared" si="87"/>
        <v>0</v>
      </c>
      <c r="MM26" s="791">
        <f t="shared" si="216"/>
        <v>0</v>
      </c>
      <c r="MN26" s="529">
        <f>[1]Субсидия_факт!LH24</f>
        <v>0</v>
      </c>
      <c r="MO26" s="896">
        <f>[1]Субсидия_факт!LN24</f>
        <v>0</v>
      </c>
      <c r="MP26" s="531"/>
      <c r="MQ26" s="791">
        <f t="shared" si="171"/>
        <v>0</v>
      </c>
      <c r="MR26" s="809"/>
      <c r="MS26" s="708"/>
      <c r="MT26" s="531"/>
      <c r="MU26" s="791">
        <f t="shared" si="172"/>
        <v>12000000</v>
      </c>
      <c r="MV26" s="529">
        <f>[1]Субсидия_факт!LJ24</f>
        <v>0</v>
      </c>
      <c r="MW26" s="896">
        <f>[1]Субсидия_факт!LP24</f>
        <v>0</v>
      </c>
      <c r="MX26" s="531">
        <f>[1]Субсидия_факт!LT24</f>
        <v>12000000</v>
      </c>
      <c r="MY26" s="791">
        <f t="shared" si="173"/>
        <v>11979437.619999999</v>
      </c>
      <c r="MZ26" s="650"/>
      <c r="NA26" s="808"/>
      <c r="NB26" s="650">
        <v>11979437.619999999</v>
      </c>
      <c r="NC26" s="792">
        <f t="shared" si="175"/>
        <v>12000000</v>
      </c>
      <c r="ND26" s="680">
        <f>'План и исполнение'!MV26-NL26</f>
        <v>0</v>
      </c>
      <c r="NE26" s="713">
        <f>'План и исполнение'!MW26-NM26</f>
        <v>0</v>
      </c>
      <c r="NF26" s="647">
        <f>'План и исполнение'!MX26-NN26</f>
        <v>12000000</v>
      </c>
      <c r="NG26" s="792">
        <f t="shared" si="176"/>
        <v>11979437.619999999</v>
      </c>
      <c r="NH26" s="787">
        <f>'План и исполнение'!MZ26-NP26</f>
        <v>0</v>
      </c>
      <c r="NI26" s="706">
        <f>'План и исполнение'!NA26-NQ26</f>
        <v>0</v>
      </c>
      <c r="NJ26" s="793">
        <f>'План и исполнение'!NB26-NR26</f>
        <v>11979437.619999999</v>
      </c>
      <c r="NK26" s="792">
        <f t="shared" si="177"/>
        <v>0</v>
      </c>
      <c r="NL26" s="529">
        <f>[1]Субсидия_факт!LL24</f>
        <v>0</v>
      </c>
      <c r="NM26" s="896">
        <f>[1]Субсидия_факт!LR24</f>
        <v>0</v>
      </c>
      <c r="NN26" s="529">
        <f>[1]Субсидия_факт!LV24</f>
        <v>0</v>
      </c>
      <c r="NO26" s="792">
        <f t="shared" si="178"/>
        <v>0</v>
      </c>
      <c r="NP26" s="787">
        <f t="shared" si="179"/>
        <v>0</v>
      </c>
      <c r="NQ26" s="706">
        <f t="shared" si="180"/>
        <v>0</v>
      </c>
      <c r="NR26" s="529">
        <f t="shared" si="215"/>
        <v>0</v>
      </c>
      <c r="NS26" s="535">
        <f t="shared" si="181"/>
        <v>203137500</v>
      </c>
      <c r="NT26" s="1285">
        <f>[1]Субсидия_факт!NF24</f>
        <v>56878500</v>
      </c>
      <c r="NU26" s="713">
        <f>[1]Субсидия_факт!NH24</f>
        <v>146259000</v>
      </c>
      <c r="NV26" s="535">
        <f t="shared" si="182"/>
        <v>12381061.200000001</v>
      </c>
      <c r="NW26" s="344">
        <v>3466697.14</v>
      </c>
      <c r="NX26" s="739">
        <v>8914364.0600000005</v>
      </c>
      <c r="NY26" s="535">
        <f t="shared" si="183"/>
        <v>11499787.569999998</v>
      </c>
      <c r="NZ26" s="1194">
        <f>[1]Субсидия_факт!LX24</f>
        <v>0</v>
      </c>
      <c r="OA26" s="1295">
        <f>[1]Субсидия_факт!MB24</f>
        <v>0</v>
      </c>
      <c r="OB26" s="1194">
        <f>[1]Субсидия_факт!MF24</f>
        <v>3219940.53</v>
      </c>
      <c r="OC26" s="713">
        <f>[1]Субсидия_факт!MJ24</f>
        <v>8279847.0399999991</v>
      </c>
      <c r="OD26" s="1285">
        <f>[1]Субсидия_факт!NJ24</f>
        <v>0</v>
      </c>
      <c r="OE26" s="713">
        <f>[1]Субсидия_факт!NN24</f>
        <v>0</v>
      </c>
      <c r="OF26" s="535">
        <f t="shared" si="184"/>
        <v>1721360.02</v>
      </c>
      <c r="OG26" s="493"/>
      <c r="OH26" s="746"/>
      <c r="OI26" s="344">
        <f>384482.5+97498.31</f>
        <v>481980.81</v>
      </c>
      <c r="OJ26" s="739">
        <v>1239379.21</v>
      </c>
      <c r="OK26" s="493"/>
      <c r="OL26" s="746"/>
      <c r="OM26" s="610">
        <f t="shared" si="185"/>
        <v>11499787.569999998</v>
      </c>
      <c r="ON26" s="1194">
        <f t="shared" si="88"/>
        <v>0</v>
      </c>
      <c r="OO26" s="713">
        <f t="shared" si="89"/>
        <v>0</v>
      </c>
      <c r="OP26" s="493">
        <f t="shared" si="90"/>
        <v>3219940.53</v>
      </c>
      <c r="OQ26" s="713">
        <f t="shared" si="91"/>
        <v>8279847.0399999991</v>
      </c>
      <c r="OR26" s="1285">
        <f t="shared" si="92"/>
        <v>0</v>
      </c>
      <c r="OS26" s="713">
        <f t="shared" si="93"/>
        <v>0</v>
      </c>
      <c r="OT26" s="610">
        <f t="shared" si="186"/>
        <v>1721360.02</v>
      </c>
      <c r="OU26" s="1194">
        <f t="shared" si="94"/>
        <v>0</v>
      </c>
      <c r="OV26" s="713">
        <f t="shared" si="95"/>
        <v>0</v>
      </c>
      <c r="OW26" s="493">
        <f t="shared" si="96"/>
        <v>481980.81</v>
      </c>
      <c r="OX26" s="713">
        <f t="shared" si="97"/>
        <v>1239379.21</v>
      </c>
      <c r="OY26" s="1285">
        <f t="shared" si="98"/>
        <v>0</v>
      </c>
      <c r="OZ26" s="713">
        <f t="shared" si="99"/>
        <v>0</v>
      </c>
      <c r="PA26" s="610">
        <f t="shared" si="187"/>
        <v>0</v>
      </c>
      <c r="PB26" s="1194">
        <f>[1]Субсидия_факт!LZ24</f>
        <v>0</v>
      </c>
      <c r="PC26" s="1295">
        <f>[1]Субсидия_факт!MD24</f>
        <v>0</v>
      </c>
      <c r="PD26" s="1194">
        <f>[1]Субсидия_факт!MH24</f>
        <v>0</v>
      </c>
      <c r="PE26" s="713">
        <f>[1]Субсидия_факт!ML24</f>
        <v>0</v>
      </c>
      <c r="PF26" s="991">
        <f>[1]Субсидия_факт!NL24</f>
        <v>0</v>
      </c>
      <c r="PG26" s="801">
        <f>[1]Субсидия_факт!NP24</f>
        <v>0</v>
      </c>
      <c r="PH26" s="610">
        <f t="shared" si="188"/>
        <v>0</v>
      </c>
      <c r="PI26" s="991"/>
      <c r="PJ26" s="746"/>
      <c r="PK26" s="493"/>
      <c r="PL26" s="746"/>
      <c r="PM26" s="493"/>
      <c r="PN26" s="746"/>
      <c r="PO26" s="504">
        <f t="shared" si="100"/>
        <v>0</v>
      </c>
      <c r="PP26" s="529">
        <f>[1]Субсидия_факт!AF24</f>
        <v>0</v>
      </c>
      <c r="PQ26" s="896">
        <f>[1]Субсидия_факт!AH24</f>
        <v>0</v>
      </c>
      <c r="PR26" s="471">
        <f t="shared" si="101"/>
        <v>0</v>
      </c>
      <c r="PS26" s="809"/>
      <c r="PT26" s="708"/>
      <c r="PU26" s="535">
        <f t="shared" si="102"/>
        <v>0</v>
      </c>
      <c r="PV26" s="673">
        <f>[1]Субсидия_факт!MN24</f>
        <v>0</v>
      </c>
      <c r="PW26" s="814">
        <f>[1]Субсидия_факт!MP24</f>
        <v>0</v>
      </c>
      <c r="PX26" s="535">
        <f t="shared" si="103"/>
        <v>0</v>
      </c>
      <c r="PY26" s="1377"/>
      <c r="PZ26" s="717"/>
      <c r="QA26" s="535">
        <f t="shared" si="104"/>
        <v>0</v>
      </c>
      <c r="QB26" s="1194">
        <f>[1]Субсидия_факт!MR24</f>
        <v>0</v>
      </c>
      <c r="QC26" s="713">
        <f>[1]Субсидия_факт!MV24</f>
        <v>0</v>
      </c>
      <c r="QD26" s="535">
        <f t="shared" si="105"/>
        <v>0</v>
      </c>
      <c r="QE26" s="479"/>
      <c r="QF26" s="717"/>
      <c r="QG26" s="610">
        <f t="shared" si="106"/>
        <v>0</v>
      </c>
      <c r="QH26" s="1194">
        <f t="shared" si="107"/>
        <v>0</v>
      </c>
      <c r="QI26" s="713">
        <f t="shared" si="108"/>
        <v>0</v>
      </c>
      <c r="QJ26" s="610">
        <f t="shared" si="109"/>
        <v>0</v>
      </c>
      <c r="QK26" s="1194">
        <f t="shared" si="110"/>
        <v>0</v>
      </c>
      <c r="QL26" s="713">
        <f t="shared" si="111"/>
        <v>0</v>
      </c>
      <c r="QM26" s="610">
        <f t="shared" si="112"/>
        <v>0</v>
      </c>
      <c r="QN26" s="1210">
        <f>[1]Субсидия_факт!MT24</f>
        <v>0</v>
      </c>
      <c r="QO26" s="713">
        <f>[1]Субсидия_факт!MX24</f>
        <v>0</v>
      </c>
      <c r="QP26" s="610">
        <f t="shared" si="113"/>
        <v>0</v>
      </c>
      <c r="QQ26" s="479"/>
      <c r="QR26" s="717"/>
      <c r="QS26" s="535">
        <f>'Прочая  субсидия_МР  и  ГО'!B22</f>
        <v>28379216.68</v>
      </c>
      <c r="QT26" s="535">
        <f>'Прочая  субсидия_МР  и  ГО'!C22</f>
        <v>4072103.3199999994</v>
      </c>
      <c r="QU26" s="540">
        <f>'Прочая  субсидия_БП'!B22</f>
        <v>14985515.01</v>
      </c>
      <c r="QV26" s="542">
        <f>'Прочая  субсидия_БП'!C22</f>
        <v>6403163.1399999997</v>
      </c>
      <c r="QW26" s="605">
        <f>'Прочая  субсидия_БП'!D22</f>
        <v>14985515.01</v>
      </c>
      <c r="QX26" s="604">
        <f>'Прочая  субсидия_БП'!E22</f>
        <v>6403163.1399999997</v>
      </c>
      <c r="QY26" s="611">
        <f>'Прочая  субсидия_БП'!F22</f>
        <v>0</v>
      </c>
      <c r="QZ26" s="605">
        <f>'Прочая  субсидия_БП'!G22</f>
        <v>0</v>
      </c>
      <c r="RA26" s="542">
        <f t="shared" si="189"/>
        <v>286355277</v>
      </c>
      <c r="RB26" s="469">
        <f>'План и исполнение'!RZ26+'План и исполнение'!RG26+'План и исполнение'!RI26+'План и исполнение'!RK26</f>
        <v>283443777</v>
      </c>
      <c r="RC26" s="343">
        <f>'План и исполнение'!SB26+'План и исполнение'!RM26+'План и исполнение'!RS26+'План и исполнение'!RO26+'План и исполнение'!RQ26+RU26+RW26+SA26</f>
        <v>2911500</v>
      </c>
      <c r="RD26" s="534">
        <f t="shared" si="190"/>
        <v>184130063.06999999</v>
      </c>
      <c r="RE26" s="541">
        <f>'План и исполнение'!SD26+'План и исполнение'!RH26+'План и исполнение'!RJ26+'План и исполнение'!RL26</f>
        <v>182529565</v>
      </c>
      <c r="RF26" s="343">
        <f>'План и исполнение'!SF26+'План и исполнение'!RN26+'План и исполнение'!RT26+'План и исполнение'!RP26+'План и исполнение'!RR26+RV26+RX26+SE26</f>
        <v>1600498.07</v>
      </c>
      <c r="RG26" s="599">
        <f>'Субвенция  на  полномочия'!B22</f>
        <v>275709177</v>
      </c>
      <c r="RH26" s="471">
        <f>'Субвенция  на  полномочия'!C22</f>
        <v>178314565</v>
      </c>
      <c r="RI26" s="768">
        <f>[1]Субвенция_факт!P23*1000</f>
        <v>3574300</v>
      </c>
      <c r="RJ26" s="771">
        <v>1900000</v>
      </c>
      <c r="RK26" s="768">
        <f>[1]Субвенция_факт!K23*1000</f>
        <v>3061800</v>
      </c>
      <c r="RL26" s="771">
        <v>1660000</v>
      </c>
      <c r="RM26" s="768">
        <f>[1]Субвенция_факт!AF23*1000</f>
        <v>1277500</v>
      </c>
      <c r="RN26" s="771">
        <v>575798.27</v>
      </c>
      <c r="RO26" s="768">
        <f>[1]Субвенция_факт!AG23*1000</f>
        <v>4000</v>
      </c>
      <c r="RP26" s="771">
        <v>0</v>
      </c>
      <c r="RQ26" s="768">
        <f>[1]Субвенция_факт!E23*1000</f>
        <v>0</v>
      </c>
      <c r="RR26" s="771"/>
      <c r="RS26" s="768">
        <f>[1]Субвенция_факт!F23*1000</f>
        <v>0</v>
      </c>
      <c r="RT26" s="877"/>
      <c r="RU26" s="168">
        <f>[1]Субвенция_факт!G23*1000</f>
        <v>0</v>
      </c>
      <c r="RV26" s="1241"/>
      <c r="RW26" s="168">
        <f>[1]Субвенция_факт!H23*1000</f>
        <v>0</v>
      </c>
      <c r="RX26" s="878"/>
      <c r="RY26" s="504">
        <f t="shared" si="191"/>
        <v>2728500</v>
      </c>
      <c r="RZ26" s="887">
        <f>[1]Субвенция_факт!AE23*1000</f>
        <v>1098500</v>
      </c>
      <c r="SA26" s="882">
        <f>[1]Субвенция_факт!AD23*1000</f>
        <v>70000</v>
      </c>
      <c r="SB26" s="1158">
        <f>[1]Субвенция_факт!AC23*1000</f>
        <v>1560000</v>
      </c>
      <c r="SC26" s="535">
        <f t="shared" si="116"/>
        <v>1679699.8</v>
      </c>
      <c r="SD26" s="974">
        <v>655000</v>
      </c>
      <c r="SE26" s="1645"/>
      <c r="SF26" s="1652">
        <v>1024699.8</v>
      </c>
      <c r="SG26" s="279">
        <f>'План и исполнение'!VI26+'План и исполнение'!VA26+'План и исполнение'!TA26+'План и исполнение'!TE26+UO26+UU26+SO26+SS26+TM26+TQ26+UE26+SI26+TY26</f>
        <v>0</v>
      </c>
      <c r="SH26" s="168">
        <f>'План и исполнение'!VK26+'План и исполнение'!VE26+'План и исполнение'!TC26+'План и исполнение'!TG26+UR26+UX26+SQ26+SU26+TO26+TS26+UH26+SL26+UB26</f>
        <v>0</v>
      </c>
      <c r="SI26" s="540">
        <f t="shared" si="117"/>
        <v>0</v>
      </c>
      <c r="SJ26" s="887">
        <f>'[1]Иные межбюджетные трансферты'!E24</f>
        <v>0</v>
      </c>
      <c r="SK26" s="945">
        <f>'[1]Иные межбюджетные трансферты'!G24</f>
        <v>0</v>
      </c>
      <c r="SL26" s="535">
        <f t="shared" si="118"/>
        <v>0</v>
      </c>
      <c r="SM26" s="1323"/>
      <c r="SN26" s="1464"/>
      <c r="SO26" s="1335">
        <f t="shared" si="192"/>
        <v>0</v>
      </c>
      <c r="SP26" s="1115">
        <f>'[1]Иные межбюджетные трансферты'!W24</f>
        <v>0</v>
      </c>
      <c r="SQ26" s="1333">
        <f t="shared" si="193"/>
        <v>0</v>
      </c>
      <c r="SR26" s="1334"/>
      <c r="SS26" s="1336">
        <f t="shared" si="194"/>
        <v>0</v>
      </c>
      <c r="ST26" s="1115">
        <f>'[1]Иные межбюджетные трансферты'!Y24</f>
        <v>0</v>
      </c>
      <c r="SU26" s="1344">
        <f t="shared" si="195"/>
        <v>0</v>
      </c>
      <c r="SV26" s="1334"/>
      <c r="SW26" s="1336">
        <f t="shared" si="196"/>
        <v>0</v>
      </c>
      <c r="SX26" s="1344">
        <f t="shared" si="197"/>
        <v>0</v>
      </c>
      <c r="SY26" s="1355">
        <f t="shared" si="198"/>
        <v>0</v>
      </c>
      <c r="SZ26" s="1344">
        <f t="shared" si="199"/>
        <v>0</v>
      </c>
      <c r="TA26" s="1350">
        <f t="shared" si="119"/>
        <v>0</v>
      </c>
      <c r="TB26" s="1115">
        <f>'[1]Иные межбюджетные трансферты'!AC24</f>
        <v>0</v>
      </c>
      <c r="TC26" s="965">
        <f t="shared" si="120"/>
        <v>0</v>
      </c>
      <c r="TD26" s="945"/>
      <c r="TE26" s="971">
        <f t="shared" si="121"/>
        <v>0</v>
      </c>
      <c r="TF26" s="1115">
        <f>'[1]Иные межбюджетные трансферты'!AE24</f>
        <v>0</v>
      </c>
      <c r="TG26" s="965">
        <f t="shared" si="122"/>
        <v>0</v>
      </c>
      <c r="TH26" s="1214"/>
      <c r="TI26" s="968">
        <f t="shared" si="123"/>
        <v>0</v>
      </c>
      <c r="TJ26" s="962">
        <f t="shared" si="124"/>
        <v>0</v>
      </c>
      <c r="TK26" s="1219">
        <f t="shared" si="200"/>
        <v>0</v>
      </c>
      <c r="TL26" s="962">
        <f t="shared" si="201"/>
        <v>0</v>
      </c>
      <c r="TM26" s="971">
        <f t="shared" si="125"/>
        <v>0</v>
      </c>
      <c r="TN26" s="1115">
        <f>'[1]Иные межбюджетные трансферты'!AI24</f>
        <v>0</v>
      </c>
      <c r="TO26" s="965">
        <f t="shared" si="126"/>
        <v>0</v>
      </c>
      <c r="TP26" s="945"/>
      <c r="TQ26" s="971">
        <f t="shared" si="127"/>
        <v>0</v>
      </c>
      <c r="TR26" s="1115">
        <f>'[1]Иные межбюджетные трансферты'!AK24</f>
        <v>0</v>
      </c>
      <c r="TS26" s="965">
        <f t="shared" si="128"/>
        <v>0</v>
      </c>
      <c r="TT26" s="1214"/>
      <c r="TU26" s="968">
        <f t="shared" si="129"/>
        <v>0</v>
      </c>
      <c r="TV26" s="962">
        <f t="shared" si="130"/>
        <v>0</v>
      </c>
      <c r="TW26" s="1219">
        <f t="shared" si="202"/>
        <v>0</v>
      </c>
      <c r="TX26" s="968">
        <f t="shared" si="203"/>
        <v>0</v>
      </c>
      <c r="TY26" s="971">
        <f t="shared" si="204"/>
        <v>0</v>
      </c>
      <c r="TZ26" s="1210"/>
      <c r="UA26" s="713"/>
      <c r="UB26" s="971">
        <f t="shared" si="205"/>
        <v>0</v>
      </c>
      <c r="UC26" s="810"/>
      <c r="UD26" s="717"/>
      <c r="UE26" s="971">
        <f t="shared" si="206"/>
        <v>0</v>
      </c>
      <c r="UF26" s="1210">
        <f>'[1]Иные межбюджетные трансферты'!AS24</f>
        <v>0</v>
      </c>
      <c r="UG26" s="713">
        <f>'[1]Иные межбюджетные трансферты'!AW24</f>
        <v>0</v>
      </c>
      <c r="UH26" s="965">
        <f t="shared" si="207"/>
        <v>0</v>
      </c>
      <c r="UI26" s="1484"/>
      <c r="UJ26" s="804"/>
      <c r="UK26" s="865">
        <f t="shared" si="208"/>
        <v>0</v>
      </c>
      <c r="UL26" s="865">
        <f t="shared" si="209"/>
        <v>0</v>
      </c>
      <c r="UM26" s="865">
        <f t="shared" si="210"/>
        <v>0</v>
      </c>
      <c r="UN26" s="1493">
        <f t="shared" si="211"/>
        <v>0</v>
      </c>
      <c r="UO26" s="1267">
        <f t="shared" si="131"/>
        <v>0</v>
      </c>
      <c r="UP26" s="1029">
        <f>'[1]Иные межбюджетные трансферты'!S24</f>
        <v>0</v>
      </c>
      <c r="UQ26" s="1266">
        <f>'[1]Иные межбюджетные трансферты'!U24</f>
        <v>0</v>
      </c>
      <c r="UR26" s="769">
        <f t="shared" si="132"/>
        <v>0</v>
      </c>
      <c r="US26" s="1029"/>
      <c r="UT26" s="1266"/>
      <c r="UU26" s="1267">
        <f t="shared" si="133"/>
        <v>0</v>
      </c>
      <c r="UV26" s="1029">
        <f>'[1]Иные межбюджетные трансферты'!O24</f>
        <v>0</v>
      </c>
      <c r="UW26" s="1266">
        <f>'[1]Иные межбюджетные трансферты'!Q24</f>
        <v>0</v>
      </c>
      <c r="UX26" s="769">
        <f t="shared" si="134"/>
        <v>0</v>
      </c>
      <c r="UY26" s="1029"/>
      <c r="UZ26" s="1266"/>
      <c r="VA26" s="888">
        <f t="shared" si="212"/>
        <v>0</v>
      </c>
      <c r="VB26" s="887">
        <f>'[1]Иные межбюджетные трансферты'!I24</f>
        <v>0</v>
      </c>
      <c r="VC26" s="945">
        <f>'[1]Иные межбюджетные трансферты'!K24</f>
        <v>0</v>
      </c>
      <c r="VD26" s="1158">
        <f>'[1]Иные межбюджетные трансферты'!M24</f>
        <v>0</v>
      </c>
      <c r="VE26" s="888">
        <f t="shared" si="213"/>
        <v>0</v>
      </c>
      <c r="VF26" s="980"/>
      <c r="VG26" s="978"/>
      <c r="VH26" s="1323"/>
      <c r="VI26" s="528">
        <f t="shared" si="135"/>
        <v>0</v>
      </c>
      <c r="VJ26" s="882"/>
      <c r="VK26" s="888">
        <f t="shared" si="136"/>
        <v>0</v>
      </c>
      <c r="VL26" s="531"/>
      <c r="VM26" s="893">
        <f t="shared" si="137"/>
        <v>0</v>
      </c>
      <c r="VN26" s="529"/>
      <c r="VO26" s="893">
        <f t="shared" si="138"/>
        <v>0</v>
      </c>
      <c r="VP26" s="529"/>
      <c r="VQ26" s="893">
        <f t="shared" si="139"/>
        <v>0</v>
      </c>
      <c r="VR26" s="882"/>
      <c r="VS26" s="1028">
        <f t="shared" si="140"/>
        <v>0</v>
      </c>
      <c r="VT26" s="531"/>
      <c r="VU26" s="535">
        <f>VW26+'План и исполнение'!WE26+WA26+'План и исполнение'!WI26+WC26+'План и исполнение'!WK26</f>
        <v>-13010000</v>
      </c>
      <c r="VV26" s="535">
        <f>VX26+'План и исполнение'!WF26+WB26+'План и исполнение'!WJ26+WD26+'План и исполнение'!WL26</f>
        <v>-7200000</v>
      </c>
      <c r="VW26" s="549"/>
      <c r="VX26" s="549"/>
      <c r="VY26" s="549">
        <v>250000</v>
      </c>
      <c r="VZ26" s="549">
        <v>250000</v>
      </c>
      <c r="WA26" s="546">
        <f t="shared" si="141"/>
        <v>250000</v>
      </c>
      <c r="WB26" s="544">
        <f t="shared" si="142"/>
        <v>250000</v>
      </c>
      <c r="WC26" s="550"/>
      <c r="WD26" s="539"/>
      <c r="WE26" s="549">
        <v>-12600000</v>
      </c>
      <c r="WF26" s="549">
        <v>-7450000</v>
      </c>
      <c r="WG26" s="549">
        <v>-660000</v>
      </c>
      <c r="WH26" s="549"/>
      <c r="WI26" s="546">
        <f t="shared" si="143"/>
        <v>-660000</v>
      </c>
      <c r="WJ26" s="544">
        <f t="shared" si="144"/>
        <v>0</v>
      </c>
      <c r="WK26" s="539"/>
      <c r="WL26" s="539"/>
      <c r="WM26" s="1547">
        <f>'План и исполнение'!WE26+'План и исполнение'!WG26</f>
        <v>-13260000</v>
      </c>
      <c r="WN26" s="1547">
        <f>'План и исполнение'!WF26+'План и исполнение'!WH26</f>
        <v>-7450000</v>
      </c>
      <c r="WO26" s="1154"/>
    </row>
    <row r="27" spans="1:613" s="340" customFormat="1" ht="25.5" customHeight="1" x14ac:dyDescent="0.3">
      <c r="A27" s="349" t="s">
        <v>94</v>
      </c>
      <c r="B27" s="542">
        <f>D27+AI27+'План и исполнение'!RA27+'План и исполнение'!SG27</f>
        <v>1465123206.9400001</v>
      </c>
      <c r="C27" s="535">
        <f>E27+'План и исполнение'!RD27+AJ27+'План и исполнение'!SH27</f>
        <v>1032715591.04</v>
      </c>
      <c r="D27" s="540">
        <f t="shared" si="0"/>
        <v>465634460</v>
      </c>
      <c r="E27" s="542">
        <f t="shared" si="1"/>
        <v>387367211</v>
      </c>
      <c r="F27" s="603">
        <f>'[1]Дотация  из  ОБ_факт'!M23</f>
        <v>308632200</v>
      </c>
      <c r="G27" s="1551">
        <v>289176110</v>
      </c>
      <c r="H27" s="1556">
        <f>'[1]Дотация  из  ОБ_факт'!G23</f>
        <v>108268000</v>
      </c>
      <c r="I27" s="1551">
        <v>59524306</v>
      </c>
      <c r="J27" s="604">
        <f t="shared" si="2"/>
        <v>72504000</v>
      </c>
      <c r="K27" s="611">
        <f t="shared" si="3"/>
        <v>39142310</v>
      </c>
      <c r="L27" s="891">
        <f>'[1]Дотация  из  ОБ_факт'!K23</f>
        <v>35764000</v>
      </c>
      <c r="M27" s="782">
        <v>20381996</v>
      </c>
      <c r="N27" s="603">
        <f>'[1]Дотация  из  ОБ_факт'!Q23</f>
        <v>26860880</v>
      </c>
      <c r="O27" s="1054">
        <v>26860880</v>
      </c>
      <c r="P27" s="603">
        <f>'[1]Дотация  из  ОБ_факт'!S23</f>
        <v>18222800</v>
      </c>
      <c r="Q27" s="1048">
        <v>10325915</v>
      </c>
      <c r="R27" s="611">
        <f t="shared" si="4"/>
        <v>17260400</v>
      </c>
      <c r="S27" s="605">
        <f t="shared" si="5"/>
        <v>9844715</v>
      </c>
      <c r="T27" s="891">
        <f>'[1]Дотация  из  ОБ_факт'!W23</f>
        <v>962400</v>
      </c>
      <c r="U27" s="643">
        <v>481200</v>
      </c>
      <c r="V27" s="603">
        <f>'[1]Дотация  из  ОБ_факт'!AA23+'[1]Дотация  из  ОБ_факт'!AC23+'[1]Дотация  из  ОБ_факт'!AG23</f>
        <v>2970580</v>
      </c>
      <c r="W27" s="465">
        <f t="shared" si="6"/>
        <v>800000</v>
      </c>
      <c r="X27" s="607"/>
      <c r="Y27" s="606">
        <v>800000</v>
      </c>
      <c r="Z27" s="607"/>
      <c r="AA27" s="603">
        <f>'[1]Дотация  из  ОБ_факт'!Y23+'[1]Дотация  из  ОБ_факт'!AE23</f>
        <v>680000</v>
      </c>
      <c r="AB27" s="170">
        <f t="shared" si="7"/>
        <v>680000</v>
      </c>
      <c r="AC27" s="606">
        <v>680000</v>
      </c>
      <c r="AD27" s="607"/>
      <c r="AE27" s="604">
        <f t="shared" si="8"/>
        <v>680000</v>
      </c>
      <c r="AF27" s="611">
        <f t="shared" si="9"/>
        <v>680000</v>
      </c>
      <c r="AG27" s="604">
        <f>'[1]Дотация  из  ОБ_факт'!AE23</f>
        <v>0</v>
      </c>
      <c r="AH27" s="772"/>
      <c r="AI27" s="599">
        <f>'План и исполнение'!LQ27+'План и исполнение'!QS27+'План и исполнение'!QU27+CQ27+CS27+CY27+DA27+BS27+CA27+'План и исполнение'!JQ27+'План и исполнение'!KA27+'План и исполнение'!EC27+'План и исполнение'!LE27+DM27+'План и исполнение'!IM27+'План и исполнение'!IS27+'План и исполнение'!MM27+'План и исполнение'!MU27+IG27+'План и исполнение'!MA27+FK27+EY27+PO27+ES27+AK27+AU27+FE27+JK27+GG27+GQ27+DG27+PU27+FQ27+EI27+QA27+NY27+GA27+CM27+HU27+IA27+NS27</f>
        <v>544732878.94000006</v>
      </c>
      <c r="AJ27" s="504">
        <f>'План и исполнение'!LV27+'План и исполнение'!QT27+'План и исполнение'!QV27+CR27+CT27+CZ27+DB27+BW27+CE27+'План и исполнение'!JV27+'План и исполнение'!KF27+'План и исполнение'!EF27+'План и исполнение'!LK27+DU27+'План и исполнение'!IP27+'План и исполнение'!IV27+'План и исполнение'!MQ27+'План и исполнение'!MY27+IJ27+'План и исполнение'!ME27+FH27+FN27+FB27+PR27+EV27+AP27+AY27+JN27+GL27+GV27+DJ27+PX27+FT27+EN27+QD27+OF27+GD27+CO27+HX27+ID27+NV27</f>
        <v>394543813.43000001</v>
      </c>
      <c r="AK27" s="504">
        <f t="shared" si="10"/>
        <v>0</v>
      </c>
      <c r="AL27" s="343">
        <f>[1]Субсидия_факт!DB25</f>
        <v>0</v>
      </c>
      <c r="AM27" s="516">
        <f>[1]Субсидия_факт!FF25</f>
        <v>0</v>
      </c>
      <c r="AN27" s="514">
        <f>[1]Субсидия_факт!FR25</f>
        <v>0</v>
      </c>
      <c r="AO27" s="516">
        <f>[1]Субсидия_факт!MZ25</f>
        <v>0</v>
      </c>
      <c r="AP27" s="504">
        <f t="shared" si="11"/>
        <v>0</v>
      </c>
      <c r="AQ27" s="479"/>
      <c r="AR27" s="479"/>
      <c r="AS27" s="479"/>
      <c r="AT27" s="479"/>
      <c r="AU27" s="504">
        <f t="shared" si="12"/>
        <v>0</v>
      </c>
      <c r="AV27" s="469">
        <f>[1]Субсидия_факт!DD25</f>
        <v>0</v>
      </c>
      <c r="AW27" s="343">
        <f>[1]Субсидия_факт!FJ25</f>
        <v>0</v>
      </c>
      <c r="AX27" s="514">
        <f>[1]Субсидия_факт!NB25</f>
        <v>0</v>
      </c>
      <c r="AY27" s="504">
        <f t="shared" si="13"/>
        <v>0</v>
      </c>
      <c r="AZ27" s="547"/>
      <c r="BA27" s="547"/>
      <c r="BB27" s="548"/>
      <c r="BC27" s="697">
        <f t="shared" si="14"/>
        <v>0</v>
      </c>
      <c r="BD27" s="680">
        <f t="shared" si="15"/>
        <v>0</v>
      </c>
      <c r="BE27" s="469">
        <f t="shared" si="16"/>
        <v>0</v>
      </c>
      <c r="BF27" s="343">
        <f t="shared" si="17"/>
        <v>0</v>
      </c>
      <c r="BG27" s="697">
        <f t="shared" si="18"/>
        <v>0</v>
      </c>
      <c r="BH27" s="647">
        <f t="shared" si="19"/>
        <v>0</v>
      </c>
      <c r="BI27" s="514">
        <f t="shared" si="20"/>
        <v>0</v>
      </c>
      <c r="BJ27" s="343">
        <f t="shared" si="21"/>
        <v>0</v>
      </c>
      <c r="BK27" s="697">
        <f t="shared" si="22"/>
        <v>0</v>
      </c>
      <c r="BL27" s="469">
        <f>[1]Субсидия_факт!DF25</f>
        <v>0</v>
      </c>
      <c r="BM27" s="343">
        <f>[1]Субсидия_факт!FL25</f>
        <v>0</v>
      </c>
      <c r="BN27" s="469">
        <f>[1]Субсидия_факт!ND25</f>
        <v>0</v>
      </c>
      <c r="BO27" s="697">
        <f t="shared" si="23"/>
        <v>0</v>
      </c>
      <c r="BP27" s="548"/>
      <c r="BQ27" s="547"/>
      <c r="BR27" s="548"/>
      <c r="BS27" s="535">
        <f t="shared" si="145"/>
        <v>27284374</v>
      </c>
      <c r="BT27" s="449">
        <f>[1]Субсидия_факт!IL25</f>
        <v>0</v>
      </c>
      <c r="BU27" s="343">
        <f>[1]Субсидия_факт!IR25</f>
        <v>27284374</v>
      </c>
      <c r="BV27" s="529">
        <f>[1]Субсидия_факт!JD25</f>
        <v>0</v>
      </c>
      <c r="BW27" s="535">
        <f t="shared" si="146"/>
        <v>0</v>
      </c>
      <c r="BX27" s="547"/>
      <c r="BY27" s="547"/>
      <c r="BZ27" s="650"/>
      <c r="CA27" s="535">
        <f t="shared" si="147"/>
        <v>54963659</v>
      </c>
      <c r="CB27" s="469">
        <f>[1]Субсидия_факт!IN25</f>
        <v>30934869</v>
      </c>
      <c r="CC27" s="343">
        <f>[1]Субсидия_факт!IT25</f>
        <v>24028790</v>
      </c>
      <c r="CD27" s="529">
        <f>[1]Субсидия_факт!JF25</f>
        <v>0</v>
      </c>
      <c r="CE27" s="535">
        <f t="shared" si="148"/>
        <v>2170999.09</v>
      </c>
      <c r="CF27" s="547"/>
      <c r="CG27" s="548">
        <v>2170999.09</v>
      </c>
      <c r="CH27" s="760"/>
      <c r="CI27" s="546">
        <f t="shared" si="24"/>
        <v>0</v>
      </c>
      <c r="CJ27" s="544">
        <f t="shared" si="25"/>
        <v>0</v>
      </c>
      <c r="CK27" s="543">
        <f t="shared" si="149"/>
        <v>54963659</v>
      </c>
      <c r="CL27" s="546">
        <f t="shared" si="150"/>
        <v>2170999.09</v>
      </c>
      <c r="CM27" s="965">
        <f t="shared" si="151"/>
        <v>0</v>
      </c>
      <c r="CN27" s="721">
        <f>[1]Субсидия_факт!FT25</f>
        <v>0</v>
      </c>
      <c r="CO27" s="965">
        <f t="shared" si="151"/>
        <v>0</v>
      </c>
      <c r="CP27" s="721"/>
      <c r="CQ27" s="534">
        <f>[1]Субсидия_факт!FV25</f>
        <v>0</v>
      </c>
      <c r="CR27" s="644"/>
      <c r="CS27" s="535">
        <f>[1]Субсидия_факт!FX25</f>
        <v>20749529.690000001</v>
      </c>
      <c r="CT27" s="644">
        <v>6224858.9100000001</v>
      </c>
      <c r="CU27" s="544">
        <f t="shared" si="26"/>
        <v>0</v>
      </c>
      <c r="CV27" s="543">
        <f t="shared" si="27"/>
        <v>0</v>
      </c>
      <c r="CW27" s="610">
        <f>[1]Субсидия_факт!FZ25</f>
        <v>20749529.690000001</v>
      </c>
      <c r="CX27" s="1608">
        <f>CT27</f>
        <v>6224858.9100000001</v>
      </c>
      <c r="CY27" s="542">
        <f>[1]Субсидия_факт!GB25</f>
        <v>0</v>
      </c>
      <c r="CZ27" s="341"/>
      <c r="DA27" s="534">
        <f>[1]Субсидия_факт!GD25</f>
        <v>8030912.5700000003</v>
      </c>
      <c r="DB27" s="644">
        <f>2409273.77</f>
        <v>2409273.77</v>
      </c>
      <c r="DC27" s="544">
        <f t="shared" si="28"/>
        <v>0</v>
      </c>
      <c r="DD27" s="544">
        <f t="shared" si="29"/>
        <v>0</v>
      </c>
      <c r="DE27" s="691">
        <f>[1]Субсидия_факт!GF25</f>
        <v>8030912.5700000003</v>
      </c>
      <c r="DF27" s="1609">
        <f>DB27</f>
        <v>2409273.77</v>
      </c>
      <c r="DG27" s="504">
        <f t="shared" si="30"/>
        <v>0</v>
      </c>
      <c r="DH27" s="529">
        <f>[1]Субсидия_факт!EV25</f>
        <v>0</v>
      </c>
      <c r="DI27" s="896">
        <f>[1]Субсидия_факт!EX25</f>
        <v>0</v>
      </c>
      <c r="DJ27" s="471">
        <f t="shared" si="31"/>
        <v>0</v>
      </c>
      <c r="DK27" s="809"/>
      <c r="DL27" s="1083"/>
      <c r="DM27" s="542">
        <f t="shared" si="32"/>
        <v>0</v>
      </c>
      <c r="DN27" s="541">
        <f>[1]Субсидия_факт!R25</f>
        <v>0</v>
      </c>
      <c r="DO27" s="1210">
        <f>[1]Субсидия_факт!T25</f>
        <v>0</v>
      </c>
      <c r="DP27" s="713">
        <f>[1]Субсидия_факт!V25</f>
        <v>0</v>
      </c>
      <c r="DQ27" s="673">
        <f>[1]Субсидия_факт!X25</f>
        <v>0</v>
      </c>
      <c r="DR27" s="814">
        <f>[1]Субсидия_факт!Z25</f>
        <v>0</v>
      </c>
      <c r="DS27" s="516">
        <f>[1]Субсидия_факт!AB25</f>
        <v>0</v>
      </c>
      <c r="DT27" s="673">
        <f>[1]Субсидия_факт!AD25</f>
        <v>0</v>
      </c>
      <c r="DU27" s="535">
        <f t="shared" si="33"/>
        <v>0</v>
      </c>
      <c r="DV27" s="548"/>
      <c r="DW27" s="547"/>
      <c r="DX27" s="717"/>
      <c r="DY27" s="547"/>
      <c r="DZ27" s="717"/>
      <c r="EA27" s="548"/>
      <c r="EB27" s="1210">
        <f t="shared" si="214"/>
        <v>0</v>
      </c>
      <c r="EC27" s="504">
        <f t="shared" si="34"/>
        <v>0</v>
      </c>
      <c r="ED27" s="529">
        <f>[1]Субсидия_факт!BN25</f>
        <v>0</v>
      </c>
      <c r="EE27" s="896">
        <f>[1]Субсидия_факт!BP25</f>
        <v>0</v>
      </c>
      <c r="EF27" s="471">
        <f t="shared" si="35"/>
        <v>0</v>
      </c>
      <c r="EG27" s="809"/>
      <c r="EH27" s="1083"/>
      <c r="EI27" s="542">
        <f t="shared" si="152"/>
        <v>0</v>
      </c>
      <c r="EJ27" s="469">
        <f>[1]Субсидия_факт!AJ25</f>
        <v>0</v>
      </c>
      <c r="EK27" s="721">
        <f>[1]Субсидия_факт!AL25</f>
        <v>0</v>
      </c>
      <c r="EL27" s="449">
        <f>[1]Субсидия_факт!AN25</f>
        <v>0</v>
      </c>
      <c r="EM27" s="721">
        <f>[1]Субсидия_факт!AP25</f>
        <v>0</v>
      </c>
      <c r="EN27" s="535">
        <f t="shared" si="153"/>
        <v>0</v>
      </c>
      <c r="EO27" s="479"/>
      <c r="EP27" s="717"/>
      <c r="EQ27" s="479"/>
      <c r="ER27" s="717"/>
      <c r="ES27" s="504">
        <f t="shared" si="36"/>
        <v>0</v>
      </c>
      <c r="ET27" s="529">
        <f>[1]Субсидия_факт!AX25</f>
        <v>0</v>
      </c>
      <c r="EU27" s="789">
        <f>[1]Субсидия_факт!AZ25</f>
        <v>0</v>
      </c>
      <c r="EV27" s="471">
        <f t="shared" si="37"/>
        <v>0</v>
      </c>
      <c r="EW27" s="809"/>
      <c r="EX27" s="708"/>
      <c r="EY27" s="504">
        <f t="shared" si="38"/>
        <v>0</v>
      </c>
      <c r="EZ27" s="529">
        <f>[1]Субсидия_факт!BZ25</f>
        <v>0</v>
      </c>
      <c r="FA27" s="896">
        <f>[1]Субсидия_факт!CB25</f>
        <v>0</v>
      </c>
      <c r="FB27" s="471">
        <f t="shared" si="39"/>
        <v>0</v>
      </c>
      <c r="FC27" s="809"/>
      <c r="FD27" s="708"/>
      <c r="FE27" s="504">
        <f t="shared" si="40"/>
        <v>0</v>
      </c>
      <c r="FF27" s="529">
        <f>[1]Субсидия_факт!BR25</f>
        <v>0</v>
      </c>
      <c r="FG27" s="896">
        <f>[1]Субсидия_факт!BT25</f>
        <v>0</v>
      </c>
      <c r="FH27" s="471">
        <f t="shared" si="41"/>
        <v>0</v>
      </c>
      <c r="FI27" s="809"/>
      <c r="FJ27" s="708"/>
      <c r="FK27" s="504">
        <f t="shared" si="42"/>
        <v>0</v>
      </c>
      <c r="FL27" s="529">
        <f>[1]Субсидия_факт!KJ25</f>
        <v>0</v>
      </c>
      <c r="FM27" s="896">
        <f>[1]Субсидия_факт!KL25</f>
        <v>0</v>
      </c>
      <c r="FN27" s="471">
        <f t="shared" si="43"/>
        <v>0</v>
      </c>
      <c r="FO27" s="809"/>
      <c r="FP27" s="708"/>
      <c r="FQ27" s="504">
        <f t="shared" si="44"/>
        <v>0</v>
      </c>
      <c r="FR27" s="529">
        <f>[1]Субсидия_факт!KN25</f>
        <v>0</v>
      </c>
      <c r="FS27" s="896">
        <f>[1]Субсидия_факт!KR25</f>
        <v>0</v>
      </c>
      <c r="FT27" s="471">
        <f t="shared" si="45"/>
        <v>0</v>
      </c>
      <c r="FU27" s="809"/>
      <c r="FV27" s="708"/>
      <c r="FW27" s="695">
        <f t="shared" si="154"/>
        <v>0</v>
      </c>
      <c r="FX27" s="697">
        <f t="shared" si="155"/>
        <v>0</v>
      </c>
      <c r="FY27" s="695">
        <f t="shared" si="156"/>
        <v>0</v>
      </c>
      <c r="FZ27" s="697">
        <f t="shared" si="157"/>
        <v>0</v>
      </c>
      <c r="GA27" s="504">
        <f t="shared" si="158"/>
        <v>0</v>
      </c>
      <c r="GB27" s="1374">
        <f>[1]Субсидия_факт!BJ25</f>
        <v>0</v>
      </c>
      <c r="GC27" s="706">
        <f>[1]Субсидия_факт!BL25</f>
        <v>0</v>
      </c>
      <c r="GD27" s="504">
        <f t="shared" si="159"/>
        <v>0</v>
      </c>
      <c r="GE27" s="760"/>
      <c r="GF27" s="708"/>
      <c r="GG27" s="504">
        <f t="shared" si="46"/>
        <v>0</v>
      </c>
      <c r="GH27" s="760"/>
      <c r="GI27" s="708"/>
      <c r="GJ27" s="529"/>
      <c r="GK27" s="896"/>
      <c r="GL27" s="471">
        <f t="shared" si="47"/>
        <v>0</v>
      </c>
      <c r="GM27" s="760"/>
      <c r="GN27" s="708"/>
      <c r="GO27" s="760"/>
      <c r="GP27" s="708"/>
      <c r="GQ27" s="471">
        <f t="shared" si="160"/>
        <v>378259.82</v>
      </c>
      <c r="GR27" s="1374">
        <f>[1]Субсидия_факт!GJ25</f>
        <v>378259.82</v>
      </c>
      <c r="GS27" s="706">
        <f>[1]Субсидия_факт!GN25</f>
        <v>0</v>
      </c>
      <c r="GT27" s="529">
        <f>[1]Субсидия_факт!GX25</f>
        <v>0</v>
      </c>
      <c r="GU27" s="896">
        <f>[1]Субсидия_факт!HB25</f>
        <v>0</v>
      </c>
      <c r="GV27" s="471">
        <f t="shared" si="161"/>
        <v>0</v>
      </c>
      <c r="GW27" s="760"/>
      <c r="GX27" s="708"/>
      <c r="GY27" s="760"/>
      <c r="GZ27" s="708"/>
      <c r="HA27" s="695">
        <f t="shared" si="162"/>
        <v>93972.57</v>
      </c>
      <c r="HB27" s="1374">
        <f t="shared" si="48"/>
        <v>93972.57</v>
      </c>
      <c r="HC27" s="1375">
        <f t="shared" si="49"/>
        <v>0</v>
      </c>
      <c r="HD27" s="529">
        <f t="shared" si="50"/>
        <v>0</v>
      </c>
      <c r="HE27" s="896">
        <f t="shared" si="51"/>
        <v>0</v>
      </c>
      <c r="HF27" s="695">
        <f t="shared" si="163"/>
        <v>0</v>
      </c>
      <c r="HG27" s="1374">
        <f t="shared" si="52"/>
        <v>0</v>
      </c>
      <c r="HH27" s="1375">
        <f t="shared" si="53"/>
        <v>0</v>
      </c>
      <c r="HI27" s="529">
        <f t="shared" si="54"/>
        <v>0</v>
      </c>
      <c r="HJ27" s="896">
        <f t="shared" si="55"/>
        <v>0</v>
      </c>
      <c r="HK27" s="695">
        <f t="shared" si="164"/>
        <v>284287.25</v>
      </c>
      <c r="HL27" s="1374">
        <f>[1]Субсидия_факт!GL25</f>
        <v>284287.25</v>
      </c>
      <c r="HM27" s="706">
        <f>[1]Субсидия_факт!GP25</f>
        <v>0</v>
      </c>
      <c r="HN27" s="529">
        <f>[1]Субсидия_факт!GZ25</f>
        <v>0</v>
      </c>
      <c r="HO27" s="896">
        <f>[1]Субсидия_факт!HD25</f>
        <v>0</v>
      </c>
      <c r="HP27" s="695">
        <f t="shared" si="165"/>
        <v>0</v>
      </c>
      <c r="HQ27" s="760"/>
      <c r="HR27" s="708"/>
      <c r="HS27" s="760"/>
      <c r="HT27" s="708"/>
      <c r="HU27" s="542">
        <f t="shared" si="56"/>
        <v>0</v>
      </c>
      <c r="HV27" s="531">
        <f>[1]Субсидия_факт!N25</f>
        <v>0</v>
      </c>
      <c r="HW27" s="789">
        <f>[1]Субсидия_факт!P25</f>
        <v>0</v>
      </c>
      <c r="HX27" s="535">
        <f t="shared" si="57"/>
        <v>0</v>
      </c>
      <c r="HY27" s="547"/>
      <c r="HZ27" s="739"/>
      <c r="IA27" s="542">
        <f t="shared" si="58"/>
        <v>0</v>
      </c>
      <c r="IB27" s="541">
        <f>[1]Субсидия_факт!DZ25</f>
        <v>0</v>
      </c>
      <c r="IC27" s="721">
        <f>[1]Субсидия_факт!EB25</f>
        <v>0</v>
      </c>
      <c r="ID27" s="534">
        <f t="shared" si="59"/>
        <v>0</v>
      </c>
      <c r="IE27" s="547"/>
      <c r="IF27" s="739"/>
      <c r="IG27" s="542">
        <f t="shared" si="166"/>
        <v>0</v>
      </c>
      <c r="IH27" s="531">
        <f>[1]Субсидия_факт!EP25</f>
        <v>0</v>
      </c>
      <c r="II27" s="789">
        <f>[1]Субсидия_факт!ER25</f>
        <v>0</v>
      </c>
      <c r="IJ27" s="535">
        <f t="shared" si="167"/>
        <v>0</v>
      </c>
      <c r="IK27" s="547"/>
      <c r="IL27" s="739"/>
      <c r="IM27" s="599">
        <f t="shared" si="62"/>
        <v>347225.56</v>
      </c>
      <c r="IN27" s="529">
        <f>[1]Субсидия_факт!ED25</f>
        <v>97223.63</v>
      </c>
      <c r="IO27" s="896">
        <f>[1]Субсидия_факт!EJ25</f>
        <v>250001.93</v>
      </c>
      <c r="IP27" s="471">
        <f t="shared" si="63"/>
        <v>303335.45999999996</v>
      </c>
      <c r="IQ27" s="760">
        <v>84934.35</v>
      </c>
      <c r="IR27" s="708">
        <v>218401.11</v>
      </c>
      <c r="IS27" s="471">
        <f t="shared" si="64"/>
        <v>591871.74</v>
      </c>
      <c r="IT27" s="529">
        <f>[1]Субсидия_факт!EF25</f>
        <v>165724.93</v>
      </c>
      <c r="IU27" s="789">
        <f>[1]Субсидия_факт!EL25</f>
        <v>426146.81</v>
      </c>
      <c r="IV27" s="471">
        <f t="shared" si="65"/>
        <v>591871.74</v>
      </c>
      <c r="IW27" s="650">
        <v>165724.92000000001</v>
      </c>
      <c r="IX27" s="742">
        <v>426146.82</v>
      </c>
      <c r="IY27" s="697">
        <f t="shared" si="66"/>
        <v>591871.74</v>
      </c>
      <c r="IZ27" s="787">
        <f>'План и исполнение'!IT27-'План и исполнение'!JF27</f>
        <v>165724.93</v>
      </c>
      <c r="JA27" s="706">
        <f>'План и исполнение'!IU27-'План и исполнение'!JG27</f>
        <v>426146.81</v>
      </c>
      <c r="JB27" s="691">
        <f t="shared" si="67"/>
        <v>591871.74</v>
      </c>
      <c r="JC27" s="793">
        <f>'План и исполнение'!IW27-'План и исполнение'!JI27</f>
        <v>165724.92000000001</v>
      </c>
      <c r="JD27" s="804">
        <f>'План и исполнение'!IX27-'План и исполнение'!JJ27</f>
        <v>426146.82</v>
      </c>
      <c r="JE27" s="697">
        <f t="shared" si="68"/>
        <v>0</v>
      </c>
      <c r="JF27" s="529">
        <f>[1]Субсидия_факт!EH25</f>
        <v>0</v>
      </c>
      <c r="JG27" s="896">
        <f>[1]Субсидия_факт!EN25</f>
        <v>0</v>
      </c>
      <c r="JH27" s="697">
        <f t="shared" si="69"/>
        <v>0</v>
      </c>
      <c r="JI27" s="529"/>
      <c r="JJ27" s="789"/>
      <c r="JK27" s="471">
        <f t="shared" si="70"/>
        <v>0</v>
      </c>
      <c r="JL27" s="793">
        <f>[1]Субсидия_факт!AR25</f>
        <v>0</v>
      </c>
      <c r="JM27" s="706">
        <f>[1]Субсидия_факт!AT25</f>
        <v>0</v>
      </c>
      <c r="JN27" s="471">
        <f t="shared" si="71"/>
        <v>0</v>
      </c>
      <c r="JO27" s="650"/>
      <c r="JP27" s="708"/>
      <c r="JQ27" s="785">
        <f t="shared" si="72"/>
        <v>0</v>
      </c>
      <c r="JR27" s="793">
        <f>[1]Субсидия_факт!CJ25</f>
        <v>0</v>
      </c>
      <c r="JS27" s="706">
        <f>[1]Субсидия_факт!CP25</f>
        <v>0</v>
      </c>
      <c r="JT27" s="529">
        <f>[1]Субсидия_факт!DN25</f>
        <v>0</v>
      </c>
      <c r="JU27" s="896">
        <f>[1]Субсидия_факт!DT25</f>
        <v>0</v>
      </c>
      <c r="JV27" s="471">
        <f t="shared" si="73"/>
        <v>0</v>
      </c>
      <c r="JW27" s="650"/>
      <c r="JX27" s="708"/>
      <c r="JY27" s="650"/>
      <c r="JZ27" s="892"/>
      <c r="KA27" s="785">
        <f t="shared" si="74"/>
        <v>0</v>
      </c>
      <c r="KB27" s="793">
        <f>[1]Субсидия_факт!CL25</f>
        <v>0</v>
      </c>
      <c r="KC27" s="706">
        <f>[1]Субсидия_факт!CR25</f>
        <v>0</v>
      </c>
      <c r="KD27" s="529">
        <f>[1]Субсидия_факт!DP25</f>
        <v>0</v>
      </c>
      <c r="KE27" s="896">
        <f>[1]Субсидия_факт!DV25</f>
        <v>0</v>
      </c>
      <c r="KF27" s="471">
        <f t="shared" si="75"/>
        <v>0</v>
      </c>
      <c r="KG27" s="650"/>
      <c r="KH27" s="708"/>
      <c r="KI27" s="809"/>
      <c r="KJ27" s="708"/>
      <c r="KK27" s="788">
        <f t="shared" si="76"/>
        <v>0</v>
      </c>
      <c r="KL27" s="793">
        <f>'План и исполнение'!KB27-KV27</f>
        <v>0</v>
      </c>
      <c r="KM27" s="706">
        <f>'План и исполнение'!KC27-KW27</f>
        <v>0</v>
      </c>
      <c r="KN27" s="787">
        <f>'План и исполнение'!KD27-KX27</f>
        <v>0</v>
      </c>
      <c r="KO27" s="706">
        <f>'План и исполнение'!KE27-KY27</f>
        <v>0</v>
      </c>
      <c r="KP27" s="788">
        <f t="shared" si="77"/>
        <v>0</v>
      </c>
      <c r="KQ27" s="793">
        <f>'План и исполнение'!KG27-LA27</f>
        <v>0</v>
      </c>
      <c r="KR27" s="830">
        <f>'План и исполнение'!KH27-LB27</f>
        <v>0</v>
      </c>
      <c r="KS27" s="793">
        <f>'План и исполнение'!KI27-LC27</f>
        <v>0</v>
      </c>
      <c r="KT27" s="804">
        <f>'План и исполнение'!KJ27-LD27</f>
        <v>0</v>
      </c>
      <c r="KU27" s="697">
        <f t="shared" si="78"/>
        <v>0</v>
      </c>
      <c r="KV27" s="793">
        <f>[1]Субсидия_факт!CN25</f>
        <v>0</v>
      </c>
      <c r="KW27" s="706">
        <f>[1]Субсидия_факт!CT25</f>
        <v>0</v>
      </c>
      <c r="KX27" s="529">
        <f>[1]Субсидия_факт!DR25</f>
        <v>0</v>
      </c>
      <c r="KY27" s="896">
        <f>[1]Субсидия_факт!DX25</f>
        <v>0</v>
      </c>
      <c r="KZ27" s="697">
        <f t="shared" si="79"/>
        <v>0</v>
      </c>
      <c r="LA27" s="650"/>
      <c r="LB27" s="708"/>
      <c r="LC27" s="531"/>
      <c r="LD27" s="1639"/>
      <c r="LE27" s="504">
        <f t="shared" si="168"/>
        <v>362969400</v>
      </c>
      <c r="LF27" s="529">
        <f>[1]Субсидия_факт!CD25</f>
        <v>101631400</v>
      </c>
      <c r="LG27" s="789">
        <f>[1]Субсидия_факт!CF25</f>
        <v>261338000</v>
      </c>
      <c r="LH27" s="529">
        <f>[1]Субсидия_факт!BV25</f>
        <v>0</v>
      </c>
      <c r="LI27" s="789">
        <f>[1]Субсидия_факт!BX25</f>
        <v>0</v>
      </c>
      <c r="LJ27" s="529">
        <f>[1]Субсидия_факт!CH25</f>
        <v>0</v>
      </c>
      <c r="LK27" s="471">
        <f t="shared" si="169"/>
        <v>362969400</v>
      </c>
      <c r="LL27" s="793">
        <f>LF27</f>
        <v>101631400</v>
      </c>
      <c r="LM27" s="706">
        <f>LG27</f>
        <v>261338000</v>
      </c>
      <c r="LN27" s="650"/>
      <c r="LO27" s="708"/>
      <c r="LP27" s="650"/>
      <c r="LQ27" s="504">
        <f t="shared" si="80"/>
        <v>0</v>
      </c>
      <c r="LR27" s="516">
        <f>[1]Субсидия_факт!HN25</f>
        <v>0</v>
      </c>
      <c r="LS27" s="529">
        <f>[1]Субсидия_факт!HL25</f>
        <v>0</v>
      </c>
      <c r="LT27" s="541">
        <f>[1]Субсидия_факт!HV25</f>
        <v>0</v>
      </c>
      <c r="LU27" s="721">
        <f>[1]Субсидия_факт!HX25</f>
        <v>0</v>
      </c>
      <c r="LV27" s="471">
        <f t="shared" si="81"/>
        <v>0</v>
      </c>
      <c r="LW27" s="344"/>
      <c r="LX27" s="650"/>
      <c r="LY27" s="479"/>
      <c r="LZ27" s="717"/>
      <c r="MA27" s="471">
        <f t="shared" si="82"/>
        <v>0</v>
      </c>
      <c r="MB27" s="531">
        <f>[1]Субсидия_факт!HT25</f>
        <v>0</v>
      </c>
      <c r="MC27" s="531">
        <f>[1]Субсидия_факт!HP25</f>
        <v>0</v>
      </c>
      <c r="MD27" s="789">
        <f>[1]Субсидия_факт!HR25</f>
        <v>0</v>
      </c>
      <c r="ME27" s="471">
        <f t="shared" si="83"/>
        <v>0</v>
      </c>
      <c r="MF27" s="793">
        <f t="shared" si="170"/>
        <v>0</v>
      </c>
      <c r="MG27" s="650"/>
      <c r="MH27" s="708"/>
      <c r="MI27" s="893">
        <f t="shared" si="84"/>
        <v>0</v>
      </c>
      <c r="MJ27" s="893">
        <f t="shared" si="85"/>
        <v>0</v>
      </c>
      <c r="MK27" s="695">
        <f t="shared" si="86"/>
        <v>0</v>
      </c>
      <c r="ML27" s="1028">
        <f t="shared" si="87"/>
        <v>0</v>
      </c>
      <c r="MM27" s="791">
        <f t="shared" si="216"/>
        <v>0</v>
      </c>
      <c r="MN27" s="529">
        <f>[1]Субсидия_факт!LH25</f>
        <v>0</v>
      </c>
      <c r="MO27" s="896">
        <f>[1]Субсидия_факт!LN25</f>
        <v>0</v>
      </c>
      <c r="MP27" s="531"/>
      <c r="MQ27" s="791">
        <f t="shared" si="171"/>
        <v>0</v>
      </c>
      <c r="MR27" s="809"/>
      <c r="MS27" s="708"/>
      <c r="MT27" s="531"/>
      <c r="MU27" s="791">
        <f t="shared" si="172"/>
        <v>28400000</v>
      </c>
      <c r="MV27" s="529">
        <f>[1]Субсидия_факт!LJ25</f>
        <v>870000</v>
      </c>
      <c r="MW27" s="896">
        <f>[1]Субсидия_факт!LP25</f>
        <v>16530000</v>
      </c>
      <c r="MX27" s="531">
        <f>[1]Субсидия_факт!LT25</f>
        <v>11000000</v>
      </c>
      <c r="MY27" s="791">
        <f t="shared" si="173"/>
        <v>11539822.25</v>
      </c>
      <c r="MZ27" s="650">
        <v>26991.11</v>
      </c>
      <c r="NA27" s="808">
        <v>512831.14</v>
      </c>
      <c r="NB27" s="531">
        <f t="shared" si="174"/>
        <v>11000000</v>
      </c>
      <c r="NC27" s="792">
        <f t="shared" si="175"/>
        <v>7000000</v>
      </c>
      <c r="ND27" s="680">
        <f>'План и исполнение'!MV27-NL27</f>
        <v>0</v>
      </c>
      <c r="NE27" s="713">
        <f>'План и исполнение'!MW27-NM27</f>
        <v>0</v>
      </c>
      <c r="NF27" s="647">
        <f>'План и исполнение'!MX27-NN27</f>
        <v>7000000</v>
      </c>
      <c r="NG27" s="792">
        <f t="shared" si="176"/>
        <v>7000000</v>
      </c>
      <c r="NH27" s="787">
        <f>'План и исполнение'!MZ27-NP27</f>
        <v>0</v>
      </c>
      <c r="NI27" s="706">
        <f>'План и исполнение'!NA27-NQ27</f>
        <v>0</v>
      </c>
      <c r="NJ27" s="793">
        <f>'План и исполнение'!NB27-NR27</f>
        <v>7000000</v>
      </c>
      <c r="NK27" s="792">
        <f t="shared" si="177"/>
        <v>21400000</v>
      </c>
      <c r="NL27" s="529">
        <f>[1]Субсидия_факт!LL25</f>
        <v>870000</v>
      </c>
      <c r="NM27" s="896">
        <f>[1]Субсидия_факт!LR25</f>
        <v>16530000</v>
      </c>
      <c r="NN27" s="529">
        <f>[1]Субсидия_факт!LV25</f>
        <v>4000000</v>
      </c>
      <c r="NO27" s="792">
        <f t="shared" si="178"/>
        <v>4539822.25</v>
      </c>
      <c r="NP27" s="787">
        <f t="shared" si="179"/>
        <v>26991.11</v>
      </c>
      <c r="NQ27" s="706">
        <f t="shared" si="180"/>
        <v>512831.14</v>
      </c>
      <c r="NR27" s="529">
        <f t="shared" si="215"/>
        <v>4000000</v>
      </c>
      <c r="NS27" s="535">
        <f t="shared" si="181"/>
        <v>0</v>
      </c>
      <c r="NT27" s="1285">
        <f>[1]Субсидия_факт!NF25</f>
        <v>0</v>
      </c>
      <c r="NU27" s="713">
        <f>[1]Субсидия_факт!NH25</f>
        <v>0</v>
      </c>
      <c r="NV27" s="535">
        <f t="shared" si="182"/>
        <v>0</v>
      </c>
      <c r="NW27" s="344"/>
      <c r="NX27" s="739"/>
      <c r="NY27" s="535">
        <f t="shared" si="183"/>
        <v>17380753.600000001</v>
      </c>
      <c r="NZ27" s="1194">
        <f>[1]Субсидия_факт!LX25</f>
        <v>0</v>
      </c>
      <c r="OA27" s="1295">
        <f>[1]Субсидия_факт!MB25</f>
        <v>0</v>
      </c>
      <c r="OB27" s="1194">
        <f>[1]Субсидия_факт!MF25</f>
        <v>4866611.01</v>
      </c>
      <c r="OC27" s="713">
        <f>[1]Субсидия_факт!MJ25</f>
        <v>12514142.59</v>
      </c>
      <c r="OD27" s="1285">
        <f>[1]Субсидия_факт!NJ25</f>
        <v>0</v>
      </c>
      <c r="OE27" s="713">
        <f>[1]Субсидия_факт!NN25</f>
        <v>0</v>
      </c>
      <c r="OF27" s="535">
        <f t="shared" si="184"/>
        <v>0</v>
      </c>
      <c r="OG27" s="493"/>
      <c r="OH27" s="746"/>
      <c r="OI27" s="344"/>
      <c r="OJ27" s="739"/>
      <c r="OK27" s="493"/>
      <c r="OL27" s="746"/>
      <c r="OM27" s="610">
        <f t="shared" si="185"/>
        <v>17380753.600000001</v>
      </c>
      <c r="ON27" s="1194">
        <f t="shared" si="88"/>
        <v>0</v>
      </c>
      <c r="OO27" s="713">
        <f t="shared" si="89"/>
        <v>0</v>
      </c>
      <c r="OP27" s="493">
        <f t="shared" si="90"/>
        <v>4866611.01</v>
      </c>
      <c r="OQ27" s="713">
        <f t="shared" si="91"/>
        <v>12514142.59</v>
      </c>
      <c r="OR27" s="1285">
        <f t="shared" si="92"/>
        <v>0</v>
      </c>
      <c r="OS27" s="713">
        <f t="shared" si="93"/>
        <v>0</v>
      </c>
      <c r="OT27" s="610">
        <f t="shared" si="186"/>
        <v>0</v>
      </c>
      <c r="OU27" s="1194">
        <f t="shared" si="94"/>
        <v>0</v>
      </c>
      <c r="OV27" s="713">
        <f t="shared" si="95"/>
        <v>0</v>
      </c>
      <c r="OW27" s="493">
        <f t="shared" si="96"/>
        <v>0</v>
      </c>
      <c r="OX27" s="713">
        <f t="shared" si="97"/>
        <v>0</v>
      </c>
      <c r="OY27" s="1285">
        <f t="shared" si="98"/>
        <v>0</v>
      </c>
      <c r="OZ27" s="713">
        <f t="shared" si="99"/>
        <v>0</v>
      </c>
      <c r="PA27" s="610">
        <f t="shared" si="187"/>
        <v>0</v>
      </c>
      <c r="PB27" s="1194">
        <f>[1]Субсидия_факт!LZ25</f>
        <v>0</v>
      </c>
      <c r="PC27" s="1295">
        <f>[1]Субсидия_факт!MD25</f>
        <v>0</v>
      </c>
      <c r="PD27" s="1194">
        <f>[1]Субсидия_факт!MH25</f>
        <v>0</v>
      </c>
      <c r="PE27" s="713">
        <f>[1]Субсидия_факт!ML25</f>
        <v>0</v>
      </c>
      <c r="PF27" s="991">
        <f>[1]Субсидия_факт!NL25</f>
        <v>0</v>
      </c>
      <c r="PG27" s="801">
        <f>[1]Субсидия_факт!NP25</f>
        <v>0</v>
      </c>
      <c r="PH27" s="610">
        <f t="shared" si="188"/>
        <v>0</v>
      </c>
      <c r="PI27" s="991"/>
      <c r="PJ27" s="746"/>
      <c r="PK27" s="493"/>
      <c r="PL27" s="746"/>
      <c r="PM27" s="493"/>
      <c r="PN27" s="746"/>
      <c r="PO27" s="504">
        <f t="shared" si="100"/>
        <v>0</v>
      </c>
      <c r="PP27" s="529">
        <f>[1]Субсидия_факт!AF25</f>
        <v>0</v>
      </c>
      <c r="PQ27" s="896">
        <f>[1]Субсидия_факт!AH25</f>
        <v>0</v>
      </c>
      <c r="PR27" s="471">
        <f t="shared" si="101"/>
        <v>0</v>
      </c>
      <c r="PS27" s="809"/>
      <c r="PT27" s="708"/>
      <c r="PU27" s="535">
        <f t="shared" si="102"/>
        <v>0</v>
      </c>
      <c r="PV27" s="673">
        <f>[1]Субсидия_факт!MN25</f>
        <v>0</v>
      </c>
      <c r="PW27" s="814">
        <f>[1]Субсидия_факт!MP25</f>
        <v>0</v>
      </c>
      <c r="PX27" s="535">
        <f t="shared" si="103"/>
        <v>0</v>
      </c>
      <c r="PY27" s="1377"/>
      <c r="PZ27" s="717"/>
      <c r="QA27" s="535">
        <f t="shared" si="104"/>
        <v>0</v>
      </c>
      <c r="QB27" s="1194">
        <f>[1]Субсидия_факт!MR25</f>
        <v>0</v>
      </c>
      <c r="QC27" s="713">
        <f>[1]Субсидия_факт!MV25</f>
        <v>0</v>
      </c>
      <c r="QD27" s="535">
        <f t="shared" si="105"/>
        <v>0</v>
      </c>
      <c r="QE27" s="479"/>
      <c r="QF27" s="717"/>
      <c r="QG27" s="610">
        <f t="shared" si="106"/>
        <v>0</v>
      </c>
      <c r="QH27" s="1194">
        <f t="shared" si="107"/>
        <v>0</v>
      </c>
      <c r="QI27" s="713">
        <f t="shared" si="108"/>
        <v>0</v>
      </c>
      <c r="QJ27" s="610">
        <f t="shared" si="109"/>
        <v>0</v>
      </c>
      <c r="QK27" s="1194">
        <f t="shared" si="110"/>
        <v>0</v>
      </c>
      <c r="QL27" s="713">
        <f t="shared" si="111"/>
        <v>0</v>
      </c>
      <c r="QM27" s="610">
        <f t="shared" si="112"/>
        <v>0</v>
      </c>
      <c r="QN27" s="1210">
        <f>[1]Субсидия_факт!MT25</f>
        <v>0</v>
      </c>
      <c r="QO27" s="713">
        <f>[1]Субсидия_факт!MX25</f>
        <v>0</v>
      </c>
      <c r="QP27" s="610">
        <f t="shared" si="113"/>
        <v>0</v>
      </c>
      <c r="QQ27" s="479"/>
      <c r="QR27" s="717"/>
      <c r="QS27" s="535">
        <f>'Прочая  субсидия_МР  и  ГО'!B23</f>
        <v>11690509.640000001</v>
      </c>
      <c r="QT27" s="535">
        <f>'Прочая  субсидия_МР  и  ГО'!C23</f>
        <v>3971774.7199999997</v>
      </c>
      <c r="QU27" s="540">
        <f>'Прочая  субсидия_БП'!B23</f>
        <v>11946383.32</v>
      </c>
      <c r="QV27" s="542">
        <f>'Прочая  субсидия_БП'!C23</f>
        <v>4362477.4899999993</v>
      </c>
      <c r="QW27" s="605">
        <f>'Прочая  субсидия_БП'!D23</f>
        <v>8122157.0199999996</v>
      </c>
      <c r="QX27" s="604">
        <f>'Прочая  субсидия_БП'!E23</f>
        <v>2245966.6100000003</v>
      </c>
      <c r="QY27" s="611">
        <f>'Прочая  субсидия_БП'!F23</f>
        <v>3824226.3000000003</v>
      </c>
      <c r="QZ27" s="605">
        <f>'Прочая  субсидия_БП'!G23</f>
        <v>2116510.88</v>
      </c>
      <c r="RA27" s="542">
        <f t="shared" si="189"/>
        <v>454755868</v>
      </c>
      <c r="RB27" s="469">
        <f>'План и исполнение'!RZ27+'План и исполнение'!RG27+'План и исполнение'!RI27+'План и исполнение'!RK27</f>
        <v>449242568</v>
      </c>
      <c r="RC27" s="343">
        <f>'План и исполнение'!SB27+'План и исполнение'!RM27+'План и исполнение'!RS27+'План и исполнение'!RO27+'План и исполнение'!RQ27+RU27+RW27+SA27</f>
        <v>5513300</v>
      </c>
      <c r="RD27" s="534">
        <f t="shared" si="190"/>
        <v>250804566.61000001</v>
      </c>
      <c r="RE27" s="541">
        <f>'План и исполнение'!SD27+'План и исполнение'!RH27+'План и исполнение'!RJ27+'План и исполнение'!RL27</f>
        <v>247879497</v>
      </c>
      <c r="RF27" s="343">
        <f>'План и исполнение'!SF27+'План и исполнение'!RN27+'План и исполнение'!RT27+'План и исполнение'!RP27+'План и исполнение'!RR27+RV27+RX27+SE27</f>
        <v>2925069.6100000003</v>
      </c>
      <c r="RG27" s="599">
        <f>'Субвенция  на  полномочия'!B23</f>
        <v>423830368</v>
      </c>
      <c r="RH27" s="471">
        <f>'Субвенция  на  полномочия'!C23</f>
        <v>234819097</v>
      </c>
      <c r="RI27" s="768">
        <f>[1]Субвенция_факт!P24*1000</f>
        <v>18167100</v>
      </c>
      <c r="RJ27" s="771">
        <v>9083400</v>
      </c>
      <c r="RK27" s="768">
        <f>[1]Субвенция_факт!K24*1000</f>
        <v>5973700</v>
      </c>
      <c r="RL27" s="771">
        <v>3200000</v>
      </c>
      <c r="RM27" s="768">
        <f>[1]Субвенция_факт!AF24*1000</f>
        <v>2408300</v>
      </c>
      <c r="RN27" s="771">
        <v>1204150</v>
      </c>
      <c r="RO27" s="768">
        <f>[1]Субвенция_факт!AG24*1000</f>
        <v>5000</v>
      </c>
      <c r="RP27" s="771">
        <v>0</v>
      </c>
      <c r="RQ27" s="768">
        <f>[1]Субвенция_факт!E24*1000</f>
        <v>0</v>
      </c>
      <c r="RR27" s="771"/>
      <c r="RS27" s="768">
        <f>[1]Субвенция_факт!F24*1000</f>
        <v>0</v>
      </c>
      <c r="RT27" s="877"/>
      <c r="RU27" s="168">
        <f>[1]Субвенция_факт!G24*1000</f>
        <v>0</v>
      </c>
      <c r="RV27" s="1241"/>
      <c r="RW27" s="168">
        <f>[1]Субвенция_факт!H24*1000</f>
        <v>0</v>
      </c>
      <c r="RX27" s="878"/>
      <c r="RY27" s="504">
        <f t="shared" si="191"/>
        <v>4371400</v>
      </c>
      <c r="RZ27" s="887">
        <f>[1]Субвенция_факт!AE24*1000</f>
        <v>1271400</v>
      </c>
      <c r="SA27" s="882">
        <f>[1]Субвенция_факт!AD24*1000</f>
        <v>100000</v>
      </c>
      <c r="SB27" s="1158">
        <f>[1]Субвенция_факт!AC24*1000</f>
        <v>3000000</v>
      </c>
      <c r="SC27" s="535">
        <f t="shared" si="116"/>
        <v>2497919.6100000003</v>
      </c>
      <c r="SD27" s="974">
        <v>777000</v>
      </c>
      <c r="SE27" s="1645"/>
      <c r="SF27" s="1652">
        <v>1720919.61</v>
      </c>
      <c r="SG27" s="279">
        <f>'План и исполнение'!VI27+'План и исполнение'!VA27+'План и исполнение'!TA27+'План и исполнение'!TE27+UO27+UU27+SO27+SS27+TM27+TQ27+UE27+SI27+TY27</f>
        <v>0</v>
      </c>
      <c r="SH27" s="168">
        <f>'План и исполнение'!VK27+'План и исполнение'!VE27+'План и исполнение'!TC27+'План и исполнение'!TG27+UR27+UX27+SQ27+SU27+TO27+TS27+UH27+SL27+UB27</f>
        <v>0</v>
      </c>
      <c r="SI27" s="540">
        <f t="shared" si="117"/>
        <v>0</v>
      </c>
      <c r="SJ27" s="887">
        <f>'[1]Иные межбюджетные трансферты'!E25</f>
        <v>0</v>
      </c>
      <c r="SK27" s="945">
        <f>'[1]Иные межбюджетные трансферты'!G25</f>
        <v>0</v>
      </c>
      <c r="SL27" s="535">
        <f t="shared" si="118"/>
        <v>0</v>
      </c>
      <c r="SM27" s="1323"/>
      <c r="SN27" s="1464"/>
      <c r="SO27" s="1335">
        <f t="shared" si="192"/>
        <v>0</v>
      </c>
      <c r="SP27" s="1115">
        <f>'[1]Иные межбюджетные трансферты'!W25</f>
        <v>0</v>
      </c>
      <c r="SQ27" s="1333">
        <f t="shared" si="193"/>
        <v>0</v>
      </c>
      <c r="SR27" s="1334"/>
      <c r="SS27" s="1336">
        <f t="shared" si="194"/>
        <v>0</v>
      </c>
      <c r="ST27" s="1115">
        <f>'[1]Иные межбюджетные трансферты'!Y25</f>
        <v>0</v>
      </c>
      <c r="SU27" s="1344">
        <f t="shared" si="195"/>
        <v>0</v>
      </c>
      <c r="SV27" s="1334"/>
      <c r="SW27" s="1336">
        <f t="shared" si="196"/>
        <v>0</v>
      </c>
      <c r="SX27" s="1344">
        <f t="shared" si="197"/>
        <v>0</v>
      </c>
      <c r="SY27" s="1355">
        <f t="shared" si="198"/>
        <v>0</v>
      </c>
      <c r="SZ27" s="1344">
        <f t="shared" si="199"/>
        <v>0</v>
      </c>
      <c r="TA27" s="1350">
        <f t="shared" si="119"/>
        <v>0</v>
      </c>
      <c r="TB27" s="1115">
        <f>'[1]Иные межбюджетные трансферты'!AC25</f>
        <v>0</v>
      </c>
      <c r="TC27" s="965">
        <f t="shared" si="120"/>
        <v>0</v>
      </c>
      <c r="TD27" s="945"/>
      <c r="TE27" s="971">
        <f t="shared" si="121"/>
        <v>0</v>
      </c>
      <c r="TF27" s="1115">
        <f>'[1]Иные межбюджетные трансферты'!AE25</f>
        <v>0</v>
      </c>
      <c r="TG27" s="965">
        <f t="shared" si="122"/>
        <v>0</v>
      </c>
      <c r="TH27" s="1214"/>
      <c r="TI27" s="968">
        <f t="shared" si="123"/>
        <v>0</v>
      </c>
      <c r="TJ27" s="962">
        <f t="shared" si="124"/>
        <v>0</v>
      </c>
      <c r="TK27" s="1219">
        <f t="shared" si="200"/>
        <v>0</v>
      </c>
      <c r="TL27" s="962">
        <f t="shared" si="201"/>
        <v>0</v>
      </c>
      <c r="TM27" s="971">
        <f t="shared" si="125"/>
        <v>0</v>
      </c>
      <c r="TN27" s="1115">
        <f>'[1]Иные межбюджетные трансферты'!AI25</f>
        <v>0</v>
      </c>
      <c r="TO27" s="965">
        <f t="shared" si="126"/>
        <v>0</v>
      </c>
      <c r="TP27" s="945"/>
      <c r="TQ27" s="971">
        <f t="shared" si="127"/>
        <v>0</v>
      </c>
      <c r="TR27" s="1115">
        <f>'[1]Иные межбюджетные трансферты'!AK25</f>
        <v>0</v>
      </c>
      <c r="TS27" s="965">
        <f t="shared" si="128"/>
        <v>0</v>
      </c>
      <c r="TT27" s="1214"/>
      <c r="TU27" s="968">
        <f t="shared" si="129"/>
        <v>0</v>
      </c>
      <c r="TV27" s="962">
        <f t="shared" si="130"/>
        <v>0</v>
      </c>
      <c r="TW27" s="1219">
        <f t="shared" si="202"/>
        <v>0</v>
      </c>
      <c r="TX27" s="968">
        <f t="shared" si="203"/>
        <v>0</v>
      </c>
      <c r="TY27" s="971">
        <f t="shared" si="204"/>
        <v>0</v>
      </c>
      <c r="TZ27" s="1210"/>
      <c r="UA27" s="713"/>
      <c r="UB27" s="971">
        <f t="shared" si="205"/>
        <v>0</v>
      </c>
      <c r="UC27" s="810"/>
      <c r="UD27" s="717"/>
      <c r="UE27" s="971">
        <f t="shared" si="206"/>
        <v>0</v>
      </c>
      <c r="UF27" s="1210">
        <f>'[1]Иные межбюджетные трансферты'!AS25</f>
        <v>0</v>
      </c>
      <c r="UG27" s="713">
        <f>'[1]Иные межбюджетные трансферты'!AW25</f>
        <v>0</v>
      </c>
      <c r="UH27" s="965">
        <f t="shared" si="207"/>
        <v>0</v>
      </c>
      <c r="UI27" s="1484"/>
      <c r="UJ27" s="804"/>
      <c r="UK27" s="865">
        <f t="shared" si="208"/>
        <v>0</v>
      </c>
      <c r="UL27" s="865">
        <f t="shared" si="209"/>
        <v>0</v>
      </c>
      <c r="UM27" s="865">
        <f t="shared" si="210"/>
        <v>0</v>
      </c>
      <c r="UN27" s="1493">
        <f t="shared" si="211"/>
        <v>0</v>
      </c>
      <c r="UO27" s="1267">
        <f t="shared" si="131"/>
        <v>0</v>
      </c>
      <c r="UP27" s="1029">
        <f>'[1]Иные межбюджетные трансферты'!S25</f>
        <v>0</v>
      </c>
      <c r="UQ27" s="1266">
        <f>'[1]Иные межбюджетные трансферты'!U25</f>
        <v>0</v>
      </c>
      <c r="UR27" s="769">
        <f t="shared" si="132"/>
        <v>0</v>
      </c>
      <c r="US27" s="1029"/>
      <c r="UT27" s="1266"/>
      <c r="UU27" s="1267">
        <f t="shared" si="133"/>
        <v>0</v>
      </c>
      <c r="UV27" s="1029">
        <f>'[1]Иные межбюджетные трансферты'!O25</f>
        <v>0</v>
      </c>
      <c r="UW27" s="1266">
        <f>'[1]Иные межбюджетные трансферты'!Q25</f>
        <v>0</v>
      </c>
      <c r="UX27" s="769">
        <f t="shared" si="134"/>
        <v>0</v>
      </c>
      <c r="UY27" s="1029"/>
      <c r="UZ27" s="1266"/>
      <c r="VA27" s="888">
        <f t="shared" si="212"/>
        <v>0</v>
      </c>
      <c r="VB27" s="887">
        <f>'[1]Иные межбюджетные трансферты'!I25</f>
        <v>0</v>
      </c>
      <c r="VC27" s="945">
        <f>'[1]Иные межбюджетные трансферты'!K25</f>
        <v>0</v>
      </c>
      <c r="VD27" s="1158">
        <f>'[1]Иные межбюджетные трансферты'!M25</f>
        <v>0</v>
      </c>
      <c r="VE27" s="888">
        <f t="shared" si="213"/>
        <v>0</v>
      </c>
      <c r="VF27" s="980"/>
      <c r="VG27" s="978"/>
      <c r="VH27" s="1323"/>
      <c r="VI27" s="528">
        <f t="shared" si="135"/>
        <v>0</v>
      </c>
      <c r="VJ27" s="882"/>
      <c r="VK27" s="888">
        <f t="shared" si="136"/>
        <v>0</v>
      </c>
      <c r="VL27" s="531"/>
      <c r="VM27" s="893">
        <f t="shared" si="137"/>
        <v>0</v>
      </c>
      <c r="VN27" s="529"/>
      <c r="VO27" s="893">
        <f t="shared" si="138"/>
        <v>0</v>
      </c>
      <c r="VP27" s="529"/>
      <c r="VQ27" s="893">
        <f t="shared" si="139"/>
        <v>0</v>
      </c>
      <c r="VR27" s="882"/>
      <c r="VS27" s="1028">
        <f t="shared" si="140"/>
        <v>0</v>
      </c>
      <c r="VT27" s="531"/>
      <c r="VU27" s="535">
        <f>VW27+'План и исполнение'!WE27+WA27+'План и исполнение'!WI27+WC27+'План и исполнение'!WK27</f>
        <v>-38530000</v>
      </c>
      <c r="VV27" s="535">
        <f>VX27+'План и исполнение'!WF27+WB27+'План и исполнение'!WJ27+WD27+'План и исполнение'!WL27</f>
        <v>-8799000</v>
      </c>
      <c r="VW27" s="549"/>
      <c r="VX27" s="549"/>
      <c r="VY27" s="549">
        <v>4700000</v>
      </c>
      <c r="VZ27" s="549">
        <f>400000+1331000</f>
        <v>1731000</v>
      </c>
      <c r="WA27" s="546">
        <f t="shared" si="141"/>
        <v>400000</v>
      </c>
      <c r="WB27" s="544">
        <f t="shared" si="142"/>
        <v>400000</v>
      </c>
      <c r="WC27" s="550">
        <v>4300000</v>
      </c>
      <c r="WD27" s="539">
        <v>1331000</v>
      </c>
      <c r="WE27" s="549">
        <v>-30450000</v>
      </c>
      <c r="WF27" s="549">
        <v>-6550000</v>
      </c>
      <c r="WG27" s="549">
        <f>-8880000+400000-4300000</f>
        <v>-12780000</v>
      </c>
      <c r="WH27" s="549">
        <f>-200000-100000-250000-80000-250000-100000-2000000-1000000</f>
        <v>-3980000</v>
      </c>
      <c r="WI27" s="546">
        <f t="shared" si="143"/>
        <v>-2980000</v>
      </c>
      <c r="WJ27" s="544">
        <f t="shared" si="144"/>
        <v>-1980000</v>
      </c>
      <c r="WK27" s="539">
        <f>-5500000-4300000</f>
        <v>-9800000</v>
      </c>
      <c r="WL27" s="539">
        <v>-2000000</v>
      </c>
      <c r="WM27" s="1547">
        <f>'План и исполнение'!WE27+'План и исполнение'!WG27</f>
        <v>-43230000</v>
      </c>
      <c r="WN27" s="1547">
        <f>'План и исполнение'!WF27+'План и исполнение'!WH27</f>
        <v>-10530000</v>
      </c>
      <c r="WO27" s="1154"/>
    </row>
    <row r="28" spans="1:613" s="340" customFormat="1" ht="25.5" customHeight="1" x14ac:dyDescent="0.3">
      <c r="A28" s="349" t="s">
        <v>95</v>
      </c>
      <c r="B28" s="542">
        <f>D28+AI28+'План и исполнение'!RA28+'План и исполнение'!SG28</f>
        <v>484817814.59000003</v>
      </c>
      <c r="C28" s="535">
        <f>E28+'План и исполнение'!RD28+AJ28+'План и исполнение'!SH28</f>
        <v>228106865.84999999</v>
      </c>
      <c r="D28" s="540">
        <f t="shared" si="0"/>
        <v>79449318</v>
      </c>
      <c r="E28" s="542">
        <f t="shared" si="1"/>
        <v>47787400</v>
      </c>
      <c r="F28" s="603">
        <f>'[1]Дотация  из  ОБ_факт'!M24</f>
        <v>35212000</v>
      </c>
      <c r="G28" s="1551">
        <v>23106100</v>
      </c>
      <c r="H28" s="1556">
        <f>'[1]Дотация  из  ОБ_факт'!G24</f>
        <v>27623000</v>
      </c>
      <c r="I28" s="1551">
        <v>13811400</v>
      </c>
      <c r="J28" s="604">
        <f t="shared" si="2"/>
        <v>27623000</v>
      </c>
      <c r="K28" s="611">
        <f t="shared" si="3"/>
        <v>13811400</v>
      </c>
      <c r="L28" s="891">
        <f>'[1]Дотация  из  ОБ_факт'!K24</f>
        <v>0</v>
      </c>
      <c r="M28" s="782"/>
      <c r="N28" s="603">
        <f>'[1]Дотация  из  ОБ_факт'!Q24</f>
        <v>4184500</v>
      </c>
      <c r="O28" s="1054">
        <v>4184500</v>
      </c>
      <c r="P28" s="603">
        <f>'[1]Дотация  из  ОБ_факт'!S24</f>
        <v>9971000</v>
      </c>
      <c r="Q28" s="1048">
        <v>4985400</v>
      </c>
      <c r="R28" s="611">
        <f t="shared" si="4"/>
        <v>9971000</v>
      </c>
      <c r="S28" s="605">
        <f t="shared" si="5"/>
        <v>4985400</v>
      </c>
      <c r="T28" s="891">
        <f>'[1]Дотация  из  ОБ_факт'!W24</f>
        <v>0</v>
      </c>
      <c r="U28" s="643"/>
      <c r="V28" s="603">
        <f>'[1]Дотация  из  ОБ_факт'!AA24+'[1]Дотация  из  ОБ_факт'!AC24+'[1]Дотация  из  ОБ_факт'!AG24</f>
        <v>2458818</v>
      </c>
      <c r="W28" s="465">
        <f t="shared" si="6"/>
        <v>1700000</v>
      </c>
      <c r="X28" s="607"/>
      <c r="Y28" s="606">
        <v>1700000</v>
      </c>
      <c r="Z28" s="607"/>
      <c r="AA28" s="603">
        <f>'[1]Дотация  из  ОБ_факт'!Y24+'[1]Дотация  из  ОБ_факт'!AE24</f>
        <v>0</v>
      </c>
      <c r="AB28" s="170">
        <f t="shared" si="7"/>
        <v>0</v>
      </c>
      <c r="AC28" s="606"/>
      <c r="AD28" s="607"/>
      <c r="AE28" s="604">
        <f t="shared" si="8"/>
        <v>0</v>
      </c>
      <c r="AF28" s="611">
        <f t="shared" si="9"/>
        <v>0</v>
      </c>
      <c r="AG28" s="604">
        <f>'[1]Дотация  из  ОБ_факт'!AE24</f>
        <v>0</v>
      </c>
      <c r="AH28" s="772"/>
      <c r="AI28" s="599">
        <f>'План и исполнение'!LQ28+'План и исполнение'!QS28+'План и исполнение'!QU28+CQ28+CS28+CY28+DA28+BS28+CA28+'План и исполнение'!JQ28+'План и исполнение'!KA28+'План и исполнение'!EC28+'План и исполнение'!LE28+DM28+'План и исполнение'!IM28+'План и исполнение'!IS28+'План и исполнение'!MM28+'План и исполнение'!MU28+IG28+'План и исполнение'!MA28+FK28+EY28+PO28+ES28+AK28+AU28+FE28+JK28+GG28+GQ28+DG28+PU28+FQ28+EI28+QA28+NY28+GA28+CM28+HU28+IA28+NS28</f>
        <v>179096820.59</v>
      </c>
      <c r="AJ28" s="504">
        <f>'План и исполнение'!LV28+'План и исполнение'!QT28+'План и исполнение'!QV28+CR28+CT28+CZ28+DB28+BW28+CE28+'План и исполнение'!JV28+'План и исполнение'!KF28+'План и исполнение'!EF28+'План и исполнение'!LK28+DU28+'План и исполнение'!IP28+'План и исполнение'!IV28+'План и исполнение'!MQ28+'План и исполнение'!MY28+IJ28+'План и исполнение'!ME28+FH28+FN28+FB28+PR28+EV28+AP28+AY28+JN28+GL28+GV28+DJ28+PX28+FT28+EN28+QD28+OF28+GD28+CO28+HX28+ID28+NV28</f>
        <v>14379490.030000001</v>
      </c>
      <c r="AK28" s="504">
        <f t="shared" si="10"/>
        <v>0</v>
      </c>
      <c r="AL28" s="343">
        <f>[1]Субсидия_факт!DB26</f>
        <v>0</v>
      </c>
      <c r="AM28" s="516">
        <f>[1]Субсидия_факт!FF26</f>
        <v>0</v>
      </c>
      <c r="AN28" s="514">
        <f>[1]Субсидия_факт!FR26</f>
        <v>0</v>
      </c>
      <c r="AO28" s="516">
        <f>[1]Субсидия_факт!MZ26</f>
        <v>0</v>
      </c>
      <c r="AP28" s="504">
        <f t="shared" si="11"/>
        <v>0</v>
      </c>
      <c r="AQ28" s="479"/>
      <c r="AR28" s="479"/>
      <c r="AS28" s="479"/>
      <c r="AT28" s="479"/>
      <c r="AU28" s="504">
        <f t="shared" si="12"/>
        <v>0</v>
      </c>
      <c r="AV28" s="469">
        <f>[1]Субсидия_факт!DD26</f>
        <v>0</v>
      </c>
      <c r="AW28" s="343">
        <f>[1]Субсидия_факт!FJ26</f>
        <v>0</v>
      </c>
      <c r="AX28" s="514">
        <f>[1]Субсидия_факт!NB26</f>
        <v>0</v>
      </c>
      <c r="AY28" s="504">
        <f t="shared" si="13"/>
        <v>0</v>
      </c>
      <c r="AZ28" s="547"/>
      <c r="BA28" s="547"/>
      <c r="BB28" s="548"/>
      <c r="BC28" s="697">
        <f t="shared" si="14"/>
        <v>0</v>
      </c>
      <c r="BD28" s="680">
        <f t="shared" si="15"/>
        <v>0</v>
      </c>
      <c r="BE28" s="469">
        <f t="shared" si="16"/>
        <v>0</v>
      </c>
      <c r="BF28" s="343">
        <f t="shared" si="17"/>
        <v>0</v>
      </c>
      <c r="BG28" s="697">
        <f t="shared" si="18"/>
        <v>0</v>
      </c>
      <c r="BH28" s="647">
        <f t="shared" si="19"/>
        <v>0</v>
      </c>
      <c r="BI28" s="514">
        <f t="shared" si="20"/>
        <v>0</v>
      </c>
      <c r="BJ28" s="343">
        <f t="shared" si="21"/>
        <v>0</v>
      </c>
      <c r="BK28" s="697">
        <f t="shared" si="22"/>
        <v>0</v>
      </c>
      <c r="BL28" s="469">
        <f>[1]Субсидия_факт!DF26</f>
        <v>0</v>
      </c>
      <c r="BM28" s="343">
        <f>[1]Субсидия_факт!FL26</f>
        <v>0</v>
      </c>
      <c r="BN28" s="469">
        <f>[1]Субсидия_факт!ND26</f>
        <v>0</v>
      </c>
      <c r="BO28" s="697">
        <f t="shared" si="23"/>
        <v>0</v>
      </c>
      <c r="BP28" s="548"/>
      <c r="BQ28" s="547"/>
      <c r="BR28" s="548"/>
      <c r="BS28" s="535">
        <f t="shared" si="145"/>
        <v>21637607</v>
      </c>
      <c r="BT28" s="449">
        <f>[1]Субсидия_факт!IL26</f>
        <v>0</v>
      </c>
      <c r="BU28" s="343">
        <f>[1]Субсидия_факт!IR26</f>
        <v>21637607</v>
      </c>
      <c r="BV28" s="529">
        <f>[1]Субсидия_факт!JD26</f>
        <v>0</v>
      </c>
      <c r="BW28" s="535">
        <f t="shared" si="146"/>
        <v>0</v>
      </c>
      <c r="BX28" s="547"/>
      <c r="BY28" s="547"/>
      <c r="BZ28" s="650"/>
      <c r="CA28" s="535">
        <f t="shared" si="147"/>
        <v>0</v>
      </c>
      <c r="CB28" s="469">
        <f>[1]Субсидия_факт!IN26</f>
        <v>0</v>
      </c>
      <c r="CC28" s="343">
        <f>[1]Субсидия_факт!IT26</f>
        <v>0</v>
      </c>
      <c r="CD28" s="529">
        <f>[1]Субсидия_факт!JF26</f>
        <v>0</v>
      </c>
      <c r="CE28" s="535">
        <f t="shared" si="148"/>
        <v>0</v>
      </c>
      <c r="CF28" s="547"/>
      <c r="CG28" s="548"/>
      <c r="CH28" s="760"/>
      <c r="CI28" s="546">
        <f t="shared" si="24"/>
        <v>0</v>
      </c>
      <c r="CJ28" s="544">
        <f t="shared" si="25"/>
        <v>0</v>
      </c>
      <c r="CK28" s="543">
        <f t="shared" si="149"/>
        <v>0</v>
      </c>
      <c r="CL28" s="546">
        <f t="shared" si="150"/>
        <v>0</v>
      </c>
      <c r="CM28" s="965">
        <f t="shared" si="151"/>
        <v>0</v>
      </c>
      <c r="CN28" s="721">
        <f>[1]Субсидия_факт!FT26</f>
        <v>0</v>
      </c>
      <c r="CO28" s="965">
        <f t="shared" si="151"/>
        <v>0</v>
      </c>
      <c r="CP28" s="721"/>
      <c r="CQ28" s="534">
        <f>[1]Субсидия_факт!FV26</f>
        <v>0</v>
      </c>
      <c r="CR28" s="644"/>
      <c r="CS28" s="535">
        <f>[1]Субсидия_факт!FX26</f>
        <v>0</v>
      </c>
      <c r="CT28" s="644"/>
      <c r="CU28" s="544">
        <f t="shared" si="26"/>
        <v>0</v>
      </c>
      <c r="CV28" s="543">
        <f t="shared" si="27"/>
        <v>0</v>
      </c>
      <c r="CW28" s="610">
        <f>[1]Субсидия_факт!FZ26</f>
        <v>0</v>
      </c>
      <c r="CX28" s="643"/>
      <c r="CY28" s="542">
        <f>[1]Субсидия_факт!GB26</f>
        <v>0</v>
      </c>
      <c r="CZ28" s="341"/>
      <c r="DA28" s="534">
        <f>[1]Субсидия_факт!GD26</f>
        <v>0</v>
      </c>
      <c r="DB28" s="644"/>
      <c r="DC28" s="544">
        <f t="shared" si="28"/>
        <v>0</v>
      </c>
      <c r="DD28" s="544">
        <f t="shared" si="29"/>
        <v>0</v>
      </c>
      <c r="DE28" s="691">
        <f>[1]Субсидия_факт!GF26</f>
        <v>0</v>
      </c>
      <c r="DF28" s="342"/>
      <c r="DG28" s="504">
        <f t="shared" si="30"/>
        <v>0</v>
      </c>
      <c r="DH28" s="529">
        <f>[1]Субсидия_факт!EV26</f>
        <v>0</v>
      </c>
      <c r="DI28" s="896">
        <f>[1]Субсидия_факт!EX26</f>
        <v>0</v>
      </c>
      <c r="DJ28" s="471">
        <f t="shared" si="31"/>
        <v>0</v>
      </c>
      <c r="DK28" s="809"/>
      <c r="DL28" s="1083"/>
      <c r="DM28" s="542">
        <f t="shared" si="32"/>
        <v>0</v>
      </c>
      <c r="DN28" s="541">
        <f>[1]Субсидия_факт!R26</f>
        <v>0</v>
      </c>
      <c r="DO28" s="1210">
        <f>[1]Субсидия_факт!T26</f>
        <v>0</v>
      </c>
      <c r="DP28" s="713">
        <f>[1]Субсидия_факт!V26</f>
        <v>0</v>
      </c>
      <c r="DQ28" s="673">
        <f>[1]Субсидия_факт!X26</f>
        <v>0</v>
      </c>
      <c r="DR28" s="814">
        <f>[1]Субсидия_факт!Z26</f>
        <v>0</v>
      </c>
      <c r="DS28" s="516">
        <f>[1]Субсидия_факт!AB26</f>
        <v>0</v>
      </c>
      <c r="DT28" s="673">
        <f>[1]Субсидия_факт!AD26</f>
        <v>0</v>
      </c>
      <c r="DU28" s="535">
        <f t="shared" si="33"/>
        <v>0</v>
      </c>
      <c r="DV28" s="548"/>
      <c r="DW28" s="547"/>
      <c r="DX28" s="717"/>
      <c r="DY28" s="547"/>
      <c r="DZ28" s="717"/>
      <c r="EA28" s="548"/>
      <c r="EB28" s="1210">
        <f t="shared" si="214"/>
        <v>0</v>
      </c>
      <c r="EC28" s="504">
        <f t="shared" si="34"/>
        <v>0</v>
      </c>
      <c r="ED28" s="529">
        <f>[1]Субсидия_факт!BN26</f>
        <v>0</v>
      </c>
      <c r="EE28" s="896">
        <f>[1]Субсидия_факт!BP26</f>
        <v>0</v>
      </c>
      <c r="EF28" s="471">
        <f t="shared" si="35"/>
        <v>0</v>
      </c>
      <c r="EG28" s="809"/>
      <c r="EH28" s="1083"/>
      <c r="EI28" s="542">
        <f t="shared" si="152"/>
        <v>0</v>
      </c>
      <c r="EJ28" s="469">
        <f>[1]Субсидия_факт!AJ26</f>
        <v>0</v>
      </c>
      <c r="EK28" s="721">
        <f>[1]Субсидия_факт!AL26</f>
        <v>0</v>
      </c>
      <c r="EL28" s="449">
        <f>[1]Субсидия_факт!AN26</f>
        <v>0</v>
      </c>
      <c r="EM28" s="721">
        <f>[1]Субсидия_факт!AP26</f>
        <v>0</v>
      </c>
      <c r="EN28" s="535">
        <f t="shared" si="153"/>
        <v>0</v>
      </c>
      <c r="EO28" s="479"/>
      <c r="EP28" s="717"/>
      <c r="EQ28" s="479"/>
      <c r="ER28" s="717"/>
      <c r="ES28" s="504">
        <f t="shared" si="36"/>
        <v>0</v>
      </c>
      <c r="ET28" s="529">
        <f>[1]Субсидия_факт!AX26</f>
        <v>0</v>
      </c>
      <c r="EU28" s="789">
        <f>[1]Субсидия_факт!AZ26</f>
        <v>0</v>
      </c>
      <c r="EV28" s="471">
        <f t="shared" si="37"/>
        <v>0</v>
      </c>
      <c r="EW28" s="809"/>
      <c r="EX28" s="708"/>
      <c r="EY28" s="504">
        <f t="shared" si="38"/>
        <v>0</v>
      </c>
      <c r="EZ28" s="529">
        <f>[1]Субсидия_факт!BZ26</f>
        <v>0</v>
      </c>
      <c r="FA28" s="896">
        <f>[1]Субсидия_факт!CB26</f>
        <v>0</v>
      </c>
      <c r="FB28" s="471">
        <f t="shared" si="39"/>
        <v>0</v>
      </c>
      <c r="FC28" s="809"/>
      <c r="FD28" s="708"/>
      <c r="FE28" s="504">
        <f t="shared" si="40"/>
        <v>0</v>
      </c>
      <c r="FF28" s="529">
        <f>[1]Субсидия_факт!BR26</f>
        <v>0</v>
      </c>
      <c r="FG28" s="896">
        <f>[1]Субсидия_факт!BT26</f>
        <v>0</v>
      </c>
      <c r="FH28" s="471">
        <f t="shared" si="41"/>
        <v>0</v>
      </c>
      <c r="FI28" s="809"/>
      <c r="FJ28" s="708"/>
      <c r="FK28" s="504">
        <f t="shared" si="42"/>
        <v>0</v>
      </c>
      <c r="FL28" s="529">
        <f>[1]Субсидия_факт!KJ26</f>
        <v>0</v>
      </c>
      <c r="FM28" s="896">
        <f>[1]Субсидия_факт!KL26</f>
        <v>0</v>
      </c>
      <c r="FN28" s="471">
        <f t="shared" si="43"/>
        <v>0</v>
      </c>
      <c r="FO28" s="809"/>
      <c r="FP28" s="708"/>
      <c r="FQ28" s="504">
        <f t="shared" si="44"/>
        <v>0</v>
      </c>
      <c r="FR28" s="529">
        <f>[1]Субсидия_факт!KN26</f>
        <v>0</v>
      </c>
      <c r="FS28" s="896">
        <f>[1]Субсидия_факт!KR26</f>
        <v>0</v>
      </c>
      <c r="FT28" s="471">
        <f t="shared" si="45"/>
        <v>0</v>
      </c>
      <c r="FU28" s="809"/>
      <c r="FV28" s="708"/>
      <c r="FW28" s="695">
        <f t="shared" si="154"/>
        <v>0</v>
      </c>
      <c r="FX28" s="697">
        <f t="shared" si="155"/>
        <v>0</v>
      </c>
      <c r="FY28" s="695">
        <f t="shared" si="156"/>
        <v>0</v>
      </c>
      <c r="FZ28" s="697">
        <f t="shared" si="157"/>
        <v>0</v>
      </c>
      <c r="GA28" s="504">
        <f t="shared" si="158"/>
        <v>0</v>
      </c>
      <c r="GB28" s="1374">
        <f>[1]Субсидия_факт!BJ26</f>
        <v>0</v>
      </c>
      <c r="GC28" s="706">
        <f>[1]Субсидия_факт!BL26</f>
        <v>0</v>
      </c>
      <c r="GD28" s="504">
        <f t="shared" si="159"/>
        <v>0</v>
      </c>
      <c r="GE28" s="760"/>
      <c r="GF28" s="708"/>
      <c r="GG28" s="504">
        <f t="shared" si="46"/>
        <v>0</v>
      </c>
      <c r="GH28" s="760"/>
      <c r="GI28" s="708"/>
      <c r="GJ28" s="529"/>
      <c r="GK28" s="896"/>
      <c r="GL28" s="471">
        <f t="shared" si="47"/>
        <v>0</v>
      </c>
      <c r="GM28" s="760"/>
      <c r="GN28" s="708"/>
      <c r="GO28" s="760"/>
      <c r="GP28" s="708"/>
      <c r="GQ28" s="471">
        <f t="shared" si="160"/>
        <v>1246282.03</v>
      </c>
      <c r="GR28" s="1374">
        <f>[1]Субсидия_факт!GJ26</f>
        <v>0</v>
      </c>
      <c r="GS28" s="706">
        <f>[1]Субсидия_факт!GN26</f>
        <v>0</v>
      </c>
      <c r="GT28" s="529">
        <f>[1]Субсидия_факт!GX26</f>
        <v>731466.89</v>
      </c>
      <c r="GU28" s="896">
        <f>[1]Субсидия_факт!HB26</f>
        <v>514815.14</v>
      </c>
      <c r="GV28" s="471">
        <f t="shared" si="161"/>
        <v>0</v>
      </c>
      <c r="GW28" s="760"/>
      <c r="GX28" s="708"/>
      <c r="GY28" s="760"/>
      <c r="GZ28" s="708"/>
      <c r="HA28" s="695">
        <f t="shared" si="162"/>
        <v>1246282.03</v>
      </c>
      <c r="HB28" s="1374">
        <f t="shared" si="48"/>
        <v>0</v>
      </c>
      <c r="HC28" s="1375">
        <f t="shared" si="49"/>
        <v>0</v>
      </c>
      <c r="HD28" s="529">
        <f t="shared" si="50"/>
        <v>731466.89</v>
      </c>
      <c r="HE28" s="896">
        <f t="shared" si="51"/>
        <v>514815.14</v>
      </c>
      <c r="HF28" s="695">
        <f t="shared" si="163"/>
        <v>0</v>
      </c>
      <c r="HG28" s="1374">
        <f t="shared" si="52"/>
        <v>0</v>
      </c>
      <c r="HH28" s="1375">
        <f t="shared" si="53"/>
        <v>0</v>
      </c>
      <c r="HI28" s="529">
        <f t="shared" si="54"/>
        <v>0</v>
      </c>
      <c r="HJ28" s="896">
        <f t="shared" si="55"/>
        <v>0</v>
      </c>
      <c r="HK28" s="695">
        <f t="shared" si="164"/>
        <v>0</v>
      </c>
      <c r="HL28" s="1374">
        <f>[1]Субсидия_факт!GL26</f>
        <v>0</v>
      </c>
      <c r="HM28" s="706">
        <f>[1]Субсидия_факт!GP26</f>
        <v>0</v>
      </c>
      <c r="HN28" s="529">
        <f>[1]Субсидия_факт!GZ26</f>
        <v>0</v>
      </c>
      <c r="HO28" s="896">
        <f>[1]Субсидия_факт!HD26</f>
        <v>0</v>
      </c>
      <c r="HP28" s="695">
        <f t="shared" si="165"/>
        <v>0</v>
      </c>
      <c r="HQ28" s="760"/>
      <c r="HR28" s="708"/>
      <c r="HS28" s="760"/>
      <c r="HT28" s="708"/>
      <c r="HU28" s="542">
        <f t="shared" si="56"/>
        <v>0</v>
      </c>
      <c r="HV28" s="531">
        <f>[1]Субсидия_факт!N26</f>
        <v>0</v>
      </c>
      <c r="HW28" s="789">
        <f>[1]Субсидия_факт!P26</f>
        <v>0</v>
      </c>
      <c r="HX28" s="535">
        <f t="shared" si="57"/>
        <v>0</v>
      </c>
      <c r="HY28" s="547"/>
      <c r="HZ28" s="739"/>
      <c r="IA28" s="542">
        <f t="shared" si="58"/>
        <v>10000000</v>
      </c>
      <c r="IB28" s="541">
        <f>[1]Субсидия_факт!DZ26</f>
        <v>2800007.29</v>
      </c>
      <c r="IC28" s="721">
        <f>[1]Субсидия_факт!EB26</f>
        <v>7199992.71</v>
      </c>
      <c r="ID28" s="534">
        <f t="shared" si="59"/>
        <v>0</v>
      </c>
      <c r="IE28" s="547"/>
      <c r="IF28" s="739"/>
      <c r="IG28" s="542">
        <f t="shared" si="166"/>
        <v>0</v>
      </c>
      <c r="IH28" s="531">
        <f>[1]Субсидия_факт!EP26</f>
        <v>0</v>
      </c>
      <c r="II28" s="789">
        <f>[1]Субсидия_факт!ER26</f>
        <v>0</v>
      </c>
      <c r="IJ28" s="535">
        <f t="shared" si="167"/>
        <v>0</v>
      </c>
      <c r="IK28" s="547"/>
      <c r="IL28" s="739"/>
      <c r="IM28" s="599">
        <f t="shared" si="62"/>
        <v>1007895.8</v>
      </c>
      <c r="IN28" s="529">
        <f>[1]Субсидия_факт!ED26</f>
        <v>282212.2</v>
      </c>
      <c r="IO28" s="896">
        <f>[1]Субсидия_факт!EJ26</f>
        <v>725683.6</v>
      </c>
      <c r="IP28" s="471">
        <f t="shared" si="63"/>
        <v>231843.07</v>
      </c>
      <c r="IQ28" s="760">
        <v>64916.38</v>
      </c>
      <c r="IR28" s="708">
        <v>166926.69</v>
      </c>
      <c r="IS28" s="471">
        <f t="shared" si="64"/>
        <v>0</v>
      </c>
      <c r="IT28" s="529">
        <f>[1]Субсидия_факт!EF26</f>
        <v>0</v>
      </c>
      <c r="IU28" s="789">
        <f>[1]Субсидия_факт!EL26</f>
        <v>0</v>
      </c>
      <c r="IV28" s="471">
        <f t="shared" si="65"/>
        <v>0</v>
      </c>
      <c r="IW28" s="650"/>
      <c r="IX28" s="742"/>
      <c r="IY28" s="697">
        <f t="shared" si="66"/>
        <v>0</v>
      </c>
      <c r="IZ28" s="787">
        <f>'План и исполнение'!IT28-'План и исполнение'!JF28</f>
        <v>0</v>
      </c>
      <c r="JA28" s="706">
        <f>'План и исполнение'!IU28-'План и исполнение'!JG28</f>
        <v>0</v>
      </c>
      <c r="JB28" s="691">
        <f t="shared" si="67"/>
        <v>0</v>
      </c>
      <c r="JC28" s="793">
        <f>'План и исполнение'!IW28-'План и исполнение'!JI28</f>
        <v>0</v>
      </c>
      <c r="JD28" s="804">
        <f>'План и исполнение'!IX28-'План и исполнение'!JJ28</f>
        <v>0</v>
      </c>
      <c r="JE28" s="697">
        <f t="shared" si="68"/>
        <v>0</v>
      </c>
      <c r="JF28" s="529">
        <f>[1]Субсидия_факт!EH26</f>
        <v>0</v>
      </c>
      <c r="JG28" s="896">
        <f>[1]Субсидия_факт!EN26</f>
        <v>0</v>
      </c>
      <c r="JH28" s="697">
        <f t="shared" si="69"/>
        <v>0</v>
      </c>
      <c r="JI28" s="529"/>
      <c r="JJ28" s="789"/>
      <c r="JK28" s="471">
        <f t="shared" si="70"/>
        <v>0</v>
      </c>
      <c r="JL28" s="793">
        <f>[1]Субсидия_факт!AR26</f>
        <v>0</v>
      </c>
      <c r="JM28" s="706">
        <f>[1]Субсидия_факт!AT26</f>
        <v>0</v>
      </c>
      <c r="JN28" s="471">
        <f t="shared" si="71"/>
        <v>0</v>
      </c>
      <c r="JO28" s="650"/>
      <c r="JP28" s="708"/>
      <c r="JQ28" s="785">
        <f t="shared" si="72"/>
        <v>0</v>
      </c>
      <c r="JR28" s="793">
        <f>[1]Субсидия_факт!CJ26</f>
        <v>0</v>
      </c>
      <c r="JS28" s="706">
        <f>[1]Субсидия_факт!CP26</f>
        <v>0</v>
      </c>
      <c r="JT28" s="529">
        <f>[1]Субсидия_факт!DN26</f>
        <v>0</v>
      </c>
      <c r="JU28" s="896">
        <f>[1]Субсидия_факт!DT26</f>
        <v>0</v>
      </c>
      <c r="JV28" s="471">
        <f t="shared" si="73"/>
        <v>0</v>
      </c>
      <c r="JW28" s="650"/>
      <c r="JX28" s="708"/>
      <c r="JY28" s="650"/>
      <c r="JZ28" s="892"/>
      <c r="KA28" s="785">
        <f t="shared" si="74"/>
        <v>0</v>
      </c>
      <c r="KB28" s="793">
        <f>[1]Субсидия_факт!CL26</f>
        <v>0</v>
      </c>
      <c r="KC28" s="706">
        <f>[1]Субсидия_факт!CR26</f>
        <v>0</v>
      </c>
      <c r="KD28" s="529">
        <f>[1]Субсидия_факт!DP26</f>
        <v>0</v>
      </c>
      <c r="KE28" s="896">
        <f>[1]Субсидия_факт!DV26</f>
        <v>0</v>
      </c>
      <c r="KF28" s="471">
        <f t="shared" si="75"/>
        <v>0</v>
      </c>
      <c r="KG28" s="650"/>
      <c r="KH28" s="708"/>
      <c r="KI28" s="809"/>
      <c r="KJ28" s="708"/>
      <c r="KK28" s="788">
        <f t="shared" si="76"/>
        <v>0</v>
      </c>
      <c r="KL28" s="793">
        <f>'План и исполнение'!KB28-KV28</f>
        <v>0</v>
      </c>
      <c r="KM28" s="706">
        <f>'План и исполнение'!KC28-KW28</f>
        <v>0</v>
      </c>
      <c r="KN28" s="787">
        <f>'План и исполнение'!KD28-KX28</f>
        <v>0</v>
      </c>
      <c r="KO28" s="706">
        <f>'План и исполнение'!KE28-KY28</f>
        <v>0</v>
      </c>
      <c r="KP28" s="788">
        <f t="shared" si="77"/>
        <v>0</v>
      </c>
      <c r="KQ28" s="793">
        <f>'План и исполнение'!KG28-LA28</f>
        <v>0</v>
      </c>
      <c r="KR28" s="830">
        <f>'План и исполнение'!KH28-LB28</f>
        <v>0</v>
      </c>
      <c r="KS28" s="793">
        <f>'План и исполнение'!KI28-LC28</f>
        <v>0</v>
      </c>
      <c r="KT28" s="804">
        <f>'План и исполнение'!KJ28-LD28</f>
        <v>0</v>
      </c>
      <c r="KU28" s="697">
        <f t="shared" si="78"/>
        <v>0</v>
      </c>
      <c r="KV28" s="793">
        <f>[1]Субсидия_факт!CN26</f>
        <v>0</v>
      </c>
      <c r="KW28" s="706">
        <f>[1]Субсидия_факт!CT26</f>
        <v>0</v>
      </c>
      <c r="KX28" s="529">
        <f>[1]Субсидия_факт!DR26</f>
        <v>0</v>
      </c>
      <c r="KY28" s="896">
        <f>[1]Субсидия_факт!DX26</f>
        <v>0</v>
      </c>
      <c r="KZ28" s="697">
        <f t="shared" si="79"/>
        <v>0</v>
      </c>
      <c r="LA28" s="650"/>
      <c r="LB28" s="708"/>
      <c r="LC28" s="531"/>
      <c r="LD28" s="1639"/>
      <c r="LE28" s="504">
        <f t="shared" si="168"/>
        <v>0</v>
      </c>
      <c r="LF28" s="529">
        <f>[1]Субсидия_факт!CD26</f>
        <v>0</v>
      </c>
      <c r="LG28" s="789">
        <f>[1]Субсидия_факт!CF26</f>
        <v>0</v>
      </c>
      <c r="LH28" s="529">
        <f>[1]Субсидия_факт!BV26</f>
        <v>0</v>
      </c>
      <c r="LI28" s="789">
        <f>[1]Субсидия_факт!BX26</f>
        <v>0</v>
      </c>
      <c r="LJ28" s="529">
        <f>[1]Субсидия_факт!CH26</f>
        <v>0</v>
      </c>
      <c r="LK28" s="471">
        <f t="shared" si="169"/>
        <v>0</v>
      </c>
      <c r="LL28" s="650"/>
      <c r="LM28" s="708"/>
      <c r="LN28" s="650"/>
      <c r="LO28" s="708"/>
      <c r="LP28" s="650"/>
      <c r="LQ28" s="504">
        <f t="shared" si="80"/>
        <v>0</v>
      </c>
      <c r="LR28" s="516">
        <f>[1]Субсидия_факт!HN26</f>
        <v>0</v>
      </c>
      <c r="LS28" s="529">
        <f>[1]Субсидия_факт!HL26</f>
        <v>0</v>
      </c>
      <c r="LT28" s="541">
        <f>[1]Субсидия_факт!HV26</f>
        <v>0</v>
      </c>
      <c r="LU28" s="721">
        <f>[1]Субсидия_факт!HX26</f>
        <v>0</v>
      </c>
      <c r="LV28" s="471">
        <f t="shared" si="81"/>
        <v>0</v>
      </c>
      <c r="LW28" s="344"/>
      <c r="LX28" s="650"/>
      <c r="LY28" s="479"/>
      <c r="LZ28" s="717"/>
      <c r="MA28" s="471">
        <f t="shared" si="82"/>
        <v>0</v>
      </c>
      <c r="MB28" s="531">
        <f>[1]Субсидия_факт!HT26</f>
        <v>0</v>
      </c>
      <c r="MC28" s="531">
        <f>[1]Субсидия_факт!HP26</f>
        <v>0</v>
      </c>
      <c r="MD28" s="789">
        <f>[1]Субсидия_факт!HR26</f>
        <v>0</v>
      </c>
      <c r="ME28" s="471">
        <f t="shared" si="83"/>
        <v>0</v>
      </c>
      <c r="MF28" s="793">
        <f t="shared" si="170"/>
        <v>0</v>
      </c>
      <c r="MG28" s="650"/>
      <c r="MH28" s="708"/>
      <c r="MI28" s="893">
        <f t="shared" si="84"/>
        <v>0</v>
      </c>
      <c r="MJ28" s="893">
        <f t="shared" si="85"/>
        <v>0</v>
      </c>
      <c r="MK28" s="695">
        <f t="shared" si="86"/>
        <v>0</v>
      </c>
      <c r="ML28" s="1028">
        <f t="shared" si="87"/>
        <v>0</v>
      </c>
      <c r="MM28" s="791">
        <f t="shared" si="216"/>
        <v>0</v>
      </c>
      <c r="MN28" s="529">
        <f>[1]Субсидия_факт!LH26</f>
        <v>0</v>
      </c>
      <c r="MO28" s="896">
        <f>[1]Субсидия_факт!LN26</f>
        <v>0</v>
      </c>
      <c r="MP28" s="531"/>
      <c r="MQ28" s="791">
        <f t="shared" si="171"/>
        <v>0</v>
      </c>
      <c r="MR28" s="809"/>
      <c r="MS28" s="708"/>
      <c r="MT28" s="531"/>
      <c r="MU28" s="791">
        <f t="shared" si="172"/>
        <v>6000000</v>
      </c>
      <c r="MV28" s="529">
        <f>[1]Субсидия_факт!LJ26</f>
        <v>0</v>
      </c>
      <c r="MW28" s="896">
        <f>[1]Субсидия_факт!LP26</f>
        <v>0</v>
      </c>
      <c r="MX28" s="531">
        <f>[1]Субсидия_факт!LT26</f>
        <v>6000000</v>
      </c>
      <c r="MY28" s="791">
        <f t="shared" si="173"/>
        <v>5302663.6500000004</v>
      </c>
      <c r="MZ28" s="650"/>
      <c r="NA28" s="808"/>
      <c r="NB28" s="650">
        <v>5302663.6500000004</v>
      </c>
      <c r="NC28" s="792">
        <f t="shared" si="175"/>
        <v>6000000</v>
      </c>
      <c r="ND28" s="680">
        <f>'План и исполнение'!MV28-NL28</f>
        <v>0</v>
      </c>
      <c r="NE28" s="713">
        <f>'План и исполнение'!MW28-NM28</f>
        <v>0</v>
      </c>
      <c r="NF28" s="647">
        <f>'План и исполнение'!MX28-NN28</f>
        <v>6000000</v>
      </c>
      <c r="NG28" s="792">
        <f t="shared" si="176"/>
        <v>5302663.6500000004</v>
      </c>
      <c r="NH28" s="787">
        <f>'План и исполнение'!MZ28-NP28</f>
        <v>0</v>
      </c>
      <c r="NI28" s="706">
        <f>'План и исполнение'!NA28-NQ28</f>
        <v>0</v>
      </c>
      <c r="NJ28" s="793">
        <f>'План и исполнение'!NB28-NR28</f>
        <v>5302663.6500000004</v>
      </c>
      <c r="NK28" s="792">
        <f t="shared" si="177"/>
        <v>0</v>
      </c>
      <c r="NL28" s="529">
        <f>[1]Субсидия_факт!LL26</f>
        <v>0</v>
      </c>
      <c r="NM28" s="896">
        <f>[1]Субсидия_факт!LR26</f>
        <v>0</v>
      </c>
      <c r="NN28" s="529">
        <f>[1]Субсидия_факт!LV26</f>
        <v>0</v>
      </c>
      <c r="NO28" s="792">
        <f t="shared" si="178"/>
        <v>0</v>
      </c>
      <c r="NP28" s="787">
        <f t="shared" si="179"/>
        <v>0</v>
      </c>
      <c r="NQ28" s="706">
        <f t="shared" si="180"/>
        <v>0</v>
      </c>
      <c r="NR28" s="529">
        <f t="shared" si="215"/>
        <v>0</v>
      </c>
      <c r="NS28" s="535">
        <f t="shared" si="181"/>
        <v>97793055.560000002</v>
      </c>
      <c r="NT28" s="1285">
        <f>[1]Субсидия_факт!NF26</f>
        <v>27382055.559999999</v>
      </c>
      <c r="NU28" s="713">
        <f>[1]Субсидия_факт!NH26</f>
        <v>70411000</v>
      </c>
      <c r="NV28" s="535">
        <f t="shared" si="182"/>
        <v>4867322.4000000004</v>
      </c>
      <c r="NW28" s="344">
        <v>1362850.28</v>
      </c>
      <c r="NX28" s="739">
        <v>3504472.12</v>
      </c>
      <c r="NY28" s="535">
        <f t="shared" si="183"/>
        <v>8750010.5</v>
      </c>
      <c r="NZ28" s="1194">
        <f>[1]Субсидия_факт!LX26</f>
        <v>0</v>
      </c>
      <c r="OA28" s="1295">
        <f>[1]Субсидия_факт!MB26</f>
        <v>0</v>
      </c>
      <c r="OB28" s="1194">
        <f>[1]Субсидия_факт!MF26</f>
        <v>2450002.9500000002</v>
      </c>
      <c r="OC28" s="713">
        <f>[1]Субсидия_факт!MJ26</f>
        <v>6300007.5499999998</v>
      </c>
      <c r="OD28" s="1285">
        <f>[1]Субсидия_факт!NJ26</f>
        <v>0</v>
      </c>
      <c r="OE28" s="713">
        <f>[1]Субсидия_факт!NN26</f>
        <v>0</v>
      </c>
      <c r="OF28" s="535">
        <f t="shared" si="184"/>
        <v>0</v>
      </c>
      <c r="OG28" s="493"/>
      <c r="OH28" s="746"/>
      <c r="OI28" s="344"/>
      <c r="OJ28" s="739"/>
      <c r="OK28" s="493"/>
      <c r="OL28" s="746"/>
      <c r="OM28" s="610">
        <f t="shared" si="185"/>
        <v>8750010.5</v>
      </c>
      <c r="ON28" s="1194">
        <f t="shared" si="88"/>
        <v>0</v>
      </c>
      <c r="OO28" s="713">
        <f t="shared" si="89"/>
        <v>0</v>
      </c>
      <c r="OP28" s="493">
        <f t="shared" si="90"/>
        <v>2450002.9500000002</v>
      </c>
      <c r="OQ28" s="713">
        <f t="shared" si="91"/>
        <v>6300007.5499999998</v>
      </c>
      <c r="OR28" s="1285">
        <f t="shared" si="92"/>
        <v>0</v>
      </c>
      <c r="OS28" s="713">
        <f t="shared" si="93"/>
        <v>0</v>
      </c>
      <c r="OT28" s="610">
        <f t="shared" si="186"/>
        <v>0</v>
      </c>
      <c r="OU28" s="1194">
        <f t="shared" si="94"/>
        <v>0</v>
      </c>
      <c r="OV28" s="713">
        <f t="shared" si="95"/>
        <v>0</v>
      </c>
      <c r="OW28" s="493">
        <f t="shared" si="96"/>
        <v>0</v>
      </c>
      <c r="OX28" s="713">
        <f t="shared" si="97"/>
        <v>0</v>
      </c>
      <c r="OY28" s="1285">
        <f t="shared" si="98"/>
        <v>0</v>
      </c>
      <c r="OZ28" s="713">
        <f t="shared" si="99"/>
        <v>0</v>
      </c>
      <c r="PA28" s="610">
        <f t="shared" si="187"/>
        <v>0</v>
      </c>
      <c r="PB28" s="1194">
        <f>[1]Субсидия_факт!LZ26</f>
        <v>0</v>
      </c>
      <c r="PC28" s="1295">
        <f>[1]Субсидия_факт!MD26</f>
        <v>0</v>
      </c>
      <c r="PD28" s="1194">
        <f>[1]Субсидия_факт!MH26</f>
        <v>0</v>
      </c>
      <c r="PE28" s="713">
        <f>[1]Субсидия_факт!ML26</f>
        <v>0</v>
      </c>
      <c r="PF28" s="991">
        <f>[1]Субсидия_факт!NL26</f>
        <v>0</v>
      </c>
      <c r="PG28" s="801">
        <f>[1]Субсидия_факт!NP26</f>
        <v>0</v>
      </c>
      <c r="PH28" s="610">
        <f t="shared" si="188"/>
        <v>0</v>
      </c>
      <c r="PI28" s="991"/>
      <c r="PJ28" s="746"/>
      <c r="PK28" s="493"/>
      <c r="PL28" s="746"/>
      <c r="PM28" s="493"/>
      <c r="PN28" s="746"/>
      <c r="PO28" s="504">
        <f t="shared" si="100"/>
        <v>0</v>
      </c>
      <c r="PP28" s="529">
        <f>[1]Субсидия_факт!AF26</f>
        <v>0</v>
      </c>
      <c r="PQ28" s="896">
        <f>[1]Субсидия_факт!AH26</f>
        <v>0</v>
      </c>
      <c r="PR28" s="471">
        <f t="shared" si="101"/>
        <v>0</v>
      </c>
      <c r="PS28" s="809"/>
      <c r="PT28" s="708"/>
      <c r="PU28" s="535">
        <f t="shared" si="102"/>
        <v>0</v>
      </c>
      <c r="PV28" s="673">
        <f>[1]Субсидия_факт!MN26</f>
        <v>0</v>
      </c>
      <c r="PW28" s="814">
        <f>[1]Субсидия_факт!MP26</f>
        <v>0</v>
      </c>
      <c r="PX28" s="535">
        <f t="shared" si="103"/>
        <v>0</v>
      </c>
      <c r="PY28" s="1377"/>
      <c r="PZ28" s="717"/>
      <c r="QA28" s="535">
        <f t="shared" si="104"/>
        <v>0</v>
      </c>
      <c r="QB28" s="1194">
        <f>[1]Субсидия_факт!MR26</f>
        <v>0</v>
      </c>
      <c r="QC28" s="713">
        <f>[1]Субсидия_факт!MV26</f>
        <v>0</v>
      </c>
      <c r="QD28" s="535">
        <f t="shared" si="105"/>
        <v>0</v>
      </c>
      <c r="QE28" s="479"/>
      <c r="QF28" s="717"/>
      <c r="QG28" s="610">
        <f t="shared" si="106"/>
        <v>0</v>
      </c>
      <c r="QH28" s="1194">
        <f t="shared" si="107"/>
        <v>0</v>
      </c>
      <c r="QI28" s="713">
        <f t="shared" si="108"/>
        <v>0</v>
      </c>
      <c r="QJ28" s="610">
        <f t="shared" si="109"/>
        <v>0</v>
      </c>
      <c r="QK28" s="1194">
        <f t="shared" si="110"/>
        <v>0</v>
      </c>
      <c r="QL28" s="713">
        <f t="shared" si="111"/>
        <v>0</v>
      </c>
      <c r="QM28" s="610">
        <f t="shared" si="112"/>
        <v>0</v>
      </c>
      <c r="QN28" s="1210">
        <f>[1]Субсидия_факт!MT26</f>
        <v>0</v>
      </c>
      <c r="QO28" s="713">
        <f>[1]Субсидия_факт!MX26</f>
        <v>0</v>
      </c>
      <c r="QP28" s="610">
        <f t="shared" si="113"/>
        <v>0</v>
      </c>
      <c r="QQ28" s="479"/>
      <c r="QR28" s="717"/>
      <c r="QS28" s="535">
        <f>'Прочая  субсидия_МР  и  ГО'!B24</f>
        <v>19448482.309999999</v>
      </c>
      <c r="QT28" s="535">
        <f>'Прочая  субсидия_МР  и  ГО'!C24</f>
        <v>2339586.39</v>
      </c>
      <c r="QU28" s="540">
        <f>'Прочая  субсидия_БП'!B24</f>
        <v>13213487.390000001</v>
      </c>
      <c r="QV28" s="542">
        <f>'Прочая  субсидия_БП'!C24</f>
        <v>1638074.52</v>
      </c>
      <c r="QW28" s="605">
        <f>'Прочая  субсидия_БП'!D24</f>
        <v>13213487.390000001</v>
      </c>
      <c r="QX28" s="604">
        <f>'Прочая  субсидия_БП'!E24</f>
        <v>1638074.52</v>
      </c>
      <c r="QY28" s="611">
        <f>'Прочая  субсидия_БП'!F24</f>
        <v>0</v>
      </c>
      <c r="QZ28" s="605">
        <f>'Прочая  субсидия_БП'!G24</f>
        <v>0</v>
      </c>
      <c r="RA28" s="542">
        <f t="shared" si="189"/>
        <v>226271676</v>
      </c>
      <c r="RB28" s="469">
        <f>'План и исполнение'!RZ28+'План и исполнение'!RG28+'План и исполнение'!RI28+'План и исполнение'!RK28</f>
        <v>223565376</v>
      </c>
      <c r="RC28" s="343">
        <f>'План и исполнение'!SB28+'План и исполнение'!RM28+'План и исполнение'!RS28+'План и исполнение'!RO28+'План и исполнение'!RQ28+RU28+RW28+SA28</f>
        <v>2706300</v>
      </c>
      <c r="RD28" s="534">
        <f t="shared" si="190"/>
        <v>165939975.81999999</v>
      </c>
      <c r="RE28" s="541">
        <f>'План и исполнение'!SD28+'План и исполнение'!RH28+'План и исполнение'!RJ28+'План и исполнение'!RL28</f>
        <v>164691335</v>
      </c>
      <c r="RF28" s="343">
        <f>'План и исполнение'!SF28+'План и исполнение'!RN28+'План и исполнение'!RT28+'План и исполнение'!RP28+'План и исполнение'!RR28+RV28+RX28+SE28</f>
        <v>1248640.82</v>
      </c>
      <c r="RG28" s="599">
        <f>'Субвенция  на  полномочия'!B24</f>
        <v>213358276</v>
      </c>
      <c r="RH28" s="471">
        <f>'Субвенция  на  полномочия'!C24</f>
        <v>158996335</v>
      </c>
      <c r="RI28" s="768">
        <f>[1]Субвенция_факт!P25*1000</f>
        <v>7353300</v>
      </c>
      <c r="RJ28" s="771">
        <v>3650000</v>
      </c>
      <c r="RK28" s="768">
        <f>[1]Субвенция_факт!K25*1000</f>
        <v>2156100</v>
      </c>
      <c r="RL28" s="771">
        <v>1500000</v>
      </c>
      <c r="RM28" s="768">
        <f>[1]Субвенция_факт!AF25*1000</f>
        <v>1356300</v>
      </c>
      <c r="RN28" s="771">
        <v>523550.95</v>
      </c>
      <c r="RO28" s="768">
        <f>[1]Субвенция_факт!AG25*1000</f>
        <v>0</v>
      </c>
      <c r="RP28" s="771">
        <v>0</v>
      </c>
      <c r="RQ28" s="768">
        <f>[1]Субвенция_факт!E25*1000</f>
        <v>0</v>
      </c>
      <c r="RR28" s="771"/>
      <c r="RS28" s="768">
        <f>[1]Субвенция_факт!F25*1000</f>
        <v>0</v>
      </c>
      <c r="RT28" s="877"/>
      <c r="RU28" s="168">
        <f>[1]Субвенция_факт!G25*1000</f>
        <v>0</v>
      </c>
      <c r="RV28" s="1241"/>
      <c r="RW28" s="168">
        <f>[1]Субвенция_факт!H25*1000</f>
        <v>0</v>
      </c>
      <c r="RX28" s="878"/>
      <c r="RY28" s="504">
        <f t="shared" si="191"/>
        <v>2047700</v>
      </c>
      <c r="RZ28" s="887">
        <f>[1]Субвенция_факт!AE25*1000</f>
        <v>697700</v>
      </c>
      <c r="SA28" s="882">
        <f>[1]Субвенция_факт!AD25*1000</f>
        <v>50000</v>
      </c>
      <c r="SB28" s="1158">
        <f>[1]Субвенция_факт!AC25*1000</f>
        <v>1300000</v>
      </c>
      <c r="SC28" s="535">
        <f t="shared" si="116"/>
        <v>1270089.8700000001</v>
      </c>
      <c r="SD28" s="974">
        <v>545000</v>
      </c>
      <c r="SE28" s="1645"/>
      <c r="SF28" s="1652">
        <v>725089.87</v>
      </c>
      <c r="SG28" s="279">
        <f>'План и исполнение'!VI28+'План и исполнение'!VA28+'План и исполнение'!TA28+'План и исполнение'!TE28+UO28+UU28+SO28+SS28+TM28+TQ28+UE28+SI28+TY28</f>
        <v>0</v>
      </c>
      <c r="SH28" s="168">
        <f>'План и исполнение'!VK28+'План и исполнение'!VE28+'План и исполнение'!TC28+'План и исполнение'!TG28+UR28+UX28+SQ28+SU28+TO28+TS28+UH28+SL28+UB28</f>
        <v>0</v>
      </c>
      <c r="SI28" s="540">
        <f t="shared" si="117"/>
        <v>0</v>
      </c>
      <c r="SJ28" s="887">
        <f>'[1]Иные межбюджетные трансферты'!E26</f>
        <v>0</v>
      </c>
      <c r="SK28" s="945">
        <f>'[1]Иные межбюджетные трансферты'!G26</f>
        <v>0</v>
      </c>
      <c r="SL28" s="535">
        <f t="shared" si="118"/>
        <v>0</v>
      </c>
      <c r="SM28" s="1323"/>
      <c r="SN28" s="1464"/>
      <c r="SO28" s="1335">
        <f t="shared" si="192"/>
        <v>0</v>
      </c>
      <c r="SP28" s="1115">
        <f>'[1]Иные межбюджетные трансферты'!W26</f>
        <v>0</v>
      </c>
      <c r="SQ28" s="1333">
        <f t="shared" si="193"/>
        <v>0</v>
      </c>
      <c r="SR28" s="1334"/>
      <c r="SS28" s="1336">
        <f t="shared" si="194"/>
        <v>0</v>
      </c>
      <c r="ST28" s="1115">
        <f>'[1]Иные межбюджетные трансферты'!Y26</f>
        <v>0</v>
      </c>
      <c r="SU28" s="1344">
        <f t="shared" si="195"/>
        <v>0</v>
      </c>
      <c r="SV28" s="1334"/>
      <c r="SW28" s="1336">
        <f t="shared" si="196"/>
        <v>0</v>
      </c>
      <c r="SX28" s="1344">
        <f t="shared" si="197"/>
        <v>0</v>
      </c>
      <c r="SY28" s="1355">
        <f t="shared" si="198"/>
        <v>0</v>
      </c>
      <c r="SZ28" s="1344">
        <f t="shared" si="199"/>
        <v>0</v>
      </c>
      <c r="TA28" s="1350">
        <f t="shared" si="119"/>
        <v>0</v>
      </c>
      <c r="TB28" s="1115">
        <f>'[1]Иные межбюджетные трансферты'!AC26</f>
        <v>0</v>
      </c>
      <c r="TC28" s="965">
        <f t="shared" si="120"/>
        <v>0</v>
      </c>
      <c r="TD28" s="945"/>
      <c r="TE28" s="971">
        <f t="shared" si="121"/>
        <v>0</v>
      </c>
      <c r="TF28" s="1115">
        <f>'[1]Иные межбюджетные трансферты'!AE26</f>
        <v>0</v>
      </c>
      <c r="TG28" s="965">
        <f t="shared" si="122"/>
        <v>0</v>
      </c>
      <c r="TH28" s="1214"/>
      <c r="TI28" s="968">
        <f t="shared" si="123"/>
        <v>0</v>
      </c>
      <c r="TJ28" s="962">
        <f t="shared" si="124"/>
        <v>0</v>
      </c>
      <c r="TK28" s="1219">
        <f t="shared" si="200"/>
        <v>0</v>
      </c>
      <c r="TL28" s="962">
        <f t="shared" si="201"/>
        <v>0</v>
      </c>
      <c r="TM28" s="971">
        <f t="shared" si="125"/>
        <v>0</v>
      </c>
      <c r="TN28" s="1115">
        <f>'[1]Иные межбюджетные трансферты'!AI26</f>
        <v>0</v>
      </c>
      <c r="TO28" s="965">
        <f t="shared" si="126"/>
        <v>0</v>
      </c>
      <c r="TP28" s="945"/>
      <c r="TQ28" s="971">
        <f t="shared" si="127"/>
        <v>0</v>
      </c>
      <c r="TR28" s="1115">
        <f>'[1]Иные межбюджетные трансферты'!AK26</f>
        <v>0</v>
      </c>
      <c r="TS28" s="965">
        <f t="shared" si="128"/>
        <v>0</v>
      </c>
      <c r="TT28" s="1214"/>
      <c r="TU28" s="968">
        <f t="shared" si="129"/>
        <v>0</v>
      </c>
      <c r="TV28" s="962">
        <f t="shared" si="130"/>
        <v>0</v>
      </c>
      <c r="TW28" s="1219">
        <f t="shared" si="202"/>
        <v>0</v>
      </c>
      <c r="TX28" s="968">
        <f t="shared" si="203"/>
        <v>0</v>
      </c>
      <c r="TY28" s="971">
        <f t="shared" si="204"/>
        <v>0</v>
      </c>
      <c r="TZ28" s="1210"/>
      <c r="UA28" s="713"/>
      <c r="UB28" s="971">
        <f t="shared" si="205"/>
        <v>0</v>
      </c>
      <c r="UC28" s="810"/>
      <c r="UD28" s="717"/>
      <c r="UE28" s="971">
        <f t="shared" si="206"/>
        <v>0</v>
      </c>
      <c r="UF28" s="1210">
        <f>'[1]Иные межбюджетные трансферты'!AS26</f>
        <v>0</v>
      </c>
      <c r="UG28" s="713">
        <f>'[1]Иные межбюджетные трансферты'!AW26</f>
        <v>0</v>
      </c>
      <c r="UH28" s="965">
        <f t="shared" si="207"/>
        <v>0</v>
      </c>
      <c r="UI28" s="1484"/>
      <c r="UJ28" s="804"/>
      <c r="UK28" s="865">
        <f t="shared" si="208"/>
        <v>0</v>
      </c>
      <c r="UL28" s="865">
        <f t="shared" si="209"/>
        <v>0</v>
      </c>
      <c r="UM28" s="865">
        <f t="shared" si="210"/>
        <v>0</v>
      </c>
      <c r="UN28" s="1493">
        <f t="shared" si="211"/>
        <v>0</v>
      </c>
      <c r="UO28" s="1267">
        <f t="shared" si="131"/>
        <v>0</v>
      </c>
      <c r="UP28" s="1029">
        <f>'[1]Иные межбюджетные трансферты'!S26</f>
        <v>0</v>
      </c>
      <c r="UQ28" s="1266">
        <f>'[1]Иные межбюджетные трансферты'!U26</f>
        <v>0</v>
      </c>
      <c r="UR28" s="769">
        <f t="shared" si="132"/>
        <v>0</v>
      </c>
      <c r="US28" s="1029"/>
      <c r="UT28" s="1266"/>
      <c r="UU28" s="1267">
        <f t="shared" si="133"/>
        <v>0</v>
      </c>
      <c r="UV28" s="1029">
        <f>'[1]Иные межбюджетные трансферты'!O26</f>
        <v>0</v>
      </c>
      <c r="UW28" s="1266">
        <f>'[1]Иные межбюджетные трансферты'!Q26</f>
        <v>0</v>
      </c>
      <c r="UX28" s="769">
        <f t="shared" si="134"/>
        <v>0</v>
      </c>
      <c r="UY28" s="1029"/>
      <c r="UZ28" s="1266"/>
      <c r="VA28" s="888">
        <f t="shared" si="212"/>
        <v>0</v>
      </c>
      <c r="VB28" s="887">
        <f>'[1]Иные межбюджетные трансферты'!I26</f>
        <v>0</v>
      </c>
      <c r="VC28" s="945">
        <f>'[1]Иные межбюджетные трансферты'!K26</f>
        <v>0</v>
      </c>
      <c r="VD28" s="1158">
        <f>'[1]Иные межбюджетные трансферты'!M26</f>
        <v>0</v>
      </c>
      <c r="VE28" s="888">
        <f t="shared" si="213"/>
        <v>0</v>
      </c>
      <c r="VF28" s="980"/>
      <c r="VG28" s="978"/>
      <c r="VH28" s="1323"/>
      <c r="VI28" s="528">
        <f t="shared" si="135"/>
        <v>0</v>
      </c>
      <c r="VJ28" s="882"/>
      <c r="VK28" s="888">
        <f t="shared" si="136"/>
        <v>0</v>
      </c>
      <c r="VL28" s="531"/>
      <c r="VM28" s="893">
        <f t="shared" si="137"/>
        <v>0</v>
      </c>
      <c r="VN28" s="529"/>
      <c r="VO28" s="893">
        <f t="shared" si="138"/>
        <v>0</v>
      </c>
      <c r="VP28" s="529"/>
      <c r="VQ28" s="893">
        <f t="shared" si="139"/>
        <v>0</v>
      </c>
      <c r="VR28" s="882"/>
      <c r="VS28" s="1028">
        <f t="shared" si="140"/>
        <v>0</v>
      </c>
      <c r="VT28" s="531"/>
      <c r="VU28" s="535">
        <f>VW28+'План и исполнение'!WE28+WA28+'План и исполнение'!WI28+WC28+'План и исполнение'!WK28</f>
        <v>-28450000</v>
      </c>
      <c r="VV28" s="535">
        <f>VX28+'План и исполнение'!WF28+WB28+'План и исполнение'!WJ28+WD28+'План и исполнение'!WL28</f>
        <v>-11100000</v>
      </c>
      <c r="VW28" s="549"/>
      <c r="VX28" s="549"/>
      <c r="VY28" s="549"/>
      <c r="VZ28" s="549"/>
      <c r="WA28" s="546">
        <f t="shared" si="141"/>
        <v>0</v>
      </c>
      <c r="WB28" s="544">
        <f t="shared" si="142"/>
        <v>0</v>
      </c>
      <c r="WC28" s="550"/>
      <c r="WD28" s="539"/>
      <c r="WE28" s="549">
        <v>-28000000</v>
      </c>
      <c r="WF28" s="549">
        <v>-11000000</v>
      </c>
      <c r="WG28" s="549">
        <v>-450000</v>
      </c>
      <c r="WH28" s="549">
        <v>-100000</v>
      </c>
      <c r="WI28" s="546">
        <f t="shared" si="143"/>
        <v>-450000</v>
      </c>
      <c r="WJ28" s="544">
        <f t="shared" si="144"/>
        <v>-100000</v>
      </c>
      <c r="WK28" s="539"/>
      <c r="WL28" s="539"/>
      <c r="WM28" s="1547">
        <f>'План и исполнение'!WE28+'План и исполнение'!WG28</f>
        <v>-28450000</v>
      </c>
      <c r="WN28" s="1547">
        <f>'План и исполнение'!WF28+'План и исполнение'!WH28</f>
        <v>-11100000</v>
      </c>
    </row>
    <row r="29" spans="1:613" s="340" customFormat="1" ht="25.5" customHeight="1" thickBot="1" x14ac:dyDescent="0.35">
      <c r="A29" s="351" t="s">
        <v>96</v>
      </c>
      <c r="B29" s="553">
        <f>D29+AI29+'План и исполнение'!RA29+'План и исполнение'!SG29</f>
        <v>711390553.40999997</v>
      </c>
      <c r="C29" s="552">
        <f>E29+'План и исполнение'!RD29+AJ29+'План и исполнение'!SH29</f>
        <v>287746374.81</v>
      </c>
      <c r="D29" s="551">
        <f t="shared" si="0"/>
        <v>128482800</v>
      </c>
      <c r="E29" s="917">
        <f t="shared" si="1"/>
        <v>76333500</v>
      </c>
      <c r="F29" s="1044">
        <f>'[1]Дотация  из  ОБ_факт'!M25</f>
        <v>67538300</v>
      </c>
      <c r="G29" s="1552">
        <v>43967000</v>
      </c>
      <c r="H29" s="1557">
        <f>'[1]Дотация  из  ОБ_факт'!G25</f>
        <v>37590000</v>
      </c>
      <c r="I29" s="1552">
        <v>18895000</v>
      </c>
      <c r="J29" s="1040">
        <f t="shared" si="2"/>
        <v>35729000</v>
      </c>
      <c r="K29" s="1041">
        <f t="shared" si="3"/>
        <v>17965000</v>
      </c>
      <c r="L29" s="1052">
        <f>'[1]Дотация  из  ОБ_факт'!K25</f>
        <v>1861000</v>
      </c>
      <c r="M29" s="1051">
        <v>930000</v>
      </c>
      <c r="N29" s="1044">
        <f>'[1]Дотация  из  ОБ_факт'!Q25</f>
        <v>1096500</v>
      </c>
      <c r="O29" s="1055">
        <v>1096500</v>
      </c>
      <c r="P29" s="1044">
        <f>'[1]Дотация  из  ОБ_факт'!S25</f>
        <v>19553000</v>
      </c>
      <c r="Q29" s="1049">
        <v>9670000</v>
      </c>
      <c r="R29" s="1041">
        <f t="shared" si="4"/>
        <v>18652900</v>
      </c>
      <c r="S29" s="1151">
        <f t="shared" si="5"/>
        <v>9220000</v>
      </c>
      <c r="T29" s="1052">
        <f>'[1]Дотация  из  ОБ_факт'!W25</f>
        <v>900100</v>
      </c>
      <c r="U29" s="1062">
        <v>450000</v>
      </c>
      <c r="V29" s="1044">
        <f>'[1]Дотация  из  ОБ_факт'!AA25+'[1]Дотация  из  ОБ_факт'!AC25+'[1]Дотация  из  ОБ_факт'!AG25</f>
        <v>1850000</v>
      </c>
      <c r="W29" s="1150">
        <f t="shared" si="6"/>
        <v>1850000</v>
      </c>
      <c r="X29" s="1042">
        <v>750000</v>
      </c>
      <c r="Y29" s="1043">
        <v>1100000</v>
      </c>
      <c r="Z29" s="1042"/>
      <c r="AA29" s="1044">
        <f>'[1]Дотация  из  ОБ_факт'!Y25+'[1]Дотация  из  ОБ_факт'!AE25</f>
        <v>855000</v>
      </c>
      <c r="AB29" s="171">
        <f t="shared" si="7"/>
        <v>855000</v>
      </c>
      <c r="AC29" s="1043">
        <v>255000</v>
      </c>
      <c r="AD29" s="1042">
        <v>600000</v>
      </c>
      <c r="AE29" s="1040">
        <f t="shared" si="8"/>
        <v>255000</v>
      </c>
      <c r="AF29" s="1041">
        <f t="shared" si="9"/>
        <v>255000</v>
      </c>
      <c r="AG29" s="1040">
        <f>'[1]Дотация  из  ОБ_факт'!AE25</f>
        <v>600000</v>
      </c>
      <c r="AH29" s="1038">
        <v>600000</v>
      </c>
      <c r="AI29" s="599">
        <f>'План и исполнение'!LQ29+'План и исполнение'!QS29+'План и исполнение'!QU29+CQ29+CS29+CY29+DA29+BS29+CA29+'План и исполнение'!JQ29+'План и исполнение'!KA29+'План и исполнение'!EC29+'План и исполнение'!LE29+DM29+'План и исполнение'!IM29+'План и исполнение'!IS29+'План и исполнение'!MM29+'План и исполнение'!MU29+IG29+'План и исполнение'!MA29+FK29+EY29+PO29+ES29+AK29+AU29+FE29+JK29+GG29+GQ29+DG29+PU29+FQ29+EI29+QA29+NY29+GA29+CM29+HU29+IA29+NS29</f>
        <v>170982191.40999997</v>
      </c>
      <c r="AJ29" s="504">
        <f>'План и исполнение'!LV29+'План и исполнение'!QT29+'План и исполнение'!QV29+CR29+CT29+CZ29+DB29+BW29+CE29+'План и исполнение'!JV29+'План и исполнение'!KF29+'План и исполнение'!EF29+'План и исполнение'!LK29+DU29+'План и исполнение'!IP29+'План и исполнение'!IV29+'План и исполнение'!MQ29+'План и исполнение'!MY29+IJ29+'План и исполнение'!ME29+FH29+FN29+FB29+PR29+EV29+AP29+AY29+JN29+GL29+GV29+DJ29+PX29+FT29+EN29+QD29+OF29+GD29+CO29+HX29+ID29+NV29</f>
        <v>27423501.460000001</v>
      </c>
      <c r="AK29" s="504">
        <f t="shared" si="10"/>
        <v>0</v>
      </c>
      <c r="AL29" s="345">
        <f>[1]Субсидия_факт!DB27</f>
        <v>0</v>
      </c>
      <c r="AM29" s="517">
        <f>[1]Субсидия_факт!FF27</f>
        <v>0</v>
      </c>
      <c r="AN29" s="515">
        <f>[1]Субсидия_факт!FR27</f>
        <v>0</v>
      </c>
      <c r="AO29" s="517">
        <f>[1]Субсидия_факт!MZ27</f>
        <v>0</v>
      </c>
      <c r="AP29" s="504">
        <f t="shared" si="11"/>
        <v>0</v>
      </c>
      <c r="AQ29" s="942"/>
      <c r="AR29" s="942"/>
      <c r="AS29" s="942"/>
      <c r="AT29" s="942"/>
      <c r="AU29" s="504">
        <f t="shared" si="12"/>
        <v>0</v>
      </c>
      <c r="AV29" s="470">
        <f>[1]Субсидия_факт!DD27</f>
        <v>0</v>
      </c>
      <c r="AW29" s="345">
        <f>[1]Субсидия_факт!FJ27</f>
        <v>0</v>
      </c>
      <c r="AX29" s="515">
        <f>[1]Субсидия_факт!NB27</f>
        <v>0</v>
      </c>
      <c r="AY29" s="504">
        <f t="shared" si="13"/>
        <v>0</v>
      </c>
      <c r="AZ29" s="558"/>
      <c r="BA29" s="558"/>
      <c r="BB29" s="559"/>
      <c r="BC29" s="697">
        <f t="shared" si="14"/>
        <v>0</v>
      </c>
      <c r="BD29" s="681">
        <f t="shared" si="15"/>
        <v>0</v>
      </c>
      <c r="BE29" s="470">
        <f t="shared" si="16"/>
        <v>0</v>
      </c>
      <c r="BF29" s="345">
        <f t="shared" si="17"/>
        <v>0</v>
      </c>
      <c r="BG29" s="697">
        <f t="shared" si="18"/>
        <v>0</v>
      </c>
      <c r="BH29" s="648">
        <f t="shared" si="19"/>
        <v>0</v>
      </c>
      <c r="BI29" s="515">
        <f t="shared" si="20"/>
        <v>0</v>
      </c>
      <c r="BJ29" s="345">
        <f t="shared" si="21"/>
        <v>0</v>
      </c>
      <c r="BK29" s="697">
        <f t="shared" si="22"/>
        <v>0</v>
      </c>
      <c r="BL29" s="470">
        <f>[1]Субсидия_факт!DF27</f>
        <v>0</v>
      </c>
      <c r="BM29" s="345">
        <f>[1]Субсидия_факт!FL27</f>
        <v>0</v>
      </c>
      <c r="BN29" s="470">
        <f>[1]Субсидия_факт!ND27</f>
        <v>0</v>
      </c>
      <c r="BO29" s="1212">
        <f t="shared" si="23"/>
        <v>0</v>
      </c>
      <c r="BP29" s="559"/>
      <c r="BQ29" s="558"/>
      <c r="BR29" s="559"/>
      <c r="BS29" s="552">
        <f t="shared" si="145"/>
        <v>25793148</v>
      </c>
      <c r="BT29" s="922">
        <f>[1]Субсидия_факт!IL27</f>
        <v>0</v>
      </c>
      <c r="BU29" s="921">
        <f>[1]Субсидия_факт!IR27</f>
        <v>25793148</v>
      </c>
      <c r="BV29" s="529">
        <f>[1]Субсидия_факт!JD27</f>
        <v>0</v>
      </c>
      <c r="BW29" s="552">
        <f t="shared" si="146"/>
        <v>3117969.21</v>
      </c>
      <c r="BX29" s="558"/>
      <c r="BY29" s="558">
        <v>3117969.21</v>
      </c>
      <c r="BZ29" s="866"/>
      <c r="CA29" s="552">
        <f t="shared" si="147"/>
        <v>0</v>
      </c>
      <c r="CB29" s="470">
        <f>[1]Субсидия_факт!IN27</f>
        <v>0</v>
      </c>
      <c r="CC29" s="345">
        <f>[1]Субсидия_факт!IT27</f>
        <v>0</v>
      </c>
      <c r="CD29" s="529">
        <f>[1]Субсидия_факт!JF27</f>
        <v>0</v>
      </c>
      <c r="CE29" s="552">
        <f t="shared" si="148"/>
        <v>0</v>
      </c>
      <c r="CF29" s="558"/>
      <c r="CG29" s="559"/>
      <c r="CH29" s="908"/>
      <c r="CI29" s="556">
        <f t="shared" si="24"/>
        <v>0</v>
      </c>
      <c r="CJ29" s="555">
        <f t="shared" si="25"/>
        <v>0</v>
      </c>
      <c r="CK29" s="554">
        <f t="shared" si="149"/>
        <v>0</v>
      </c>
      <c r="CL29" s="556">
        <f t="shared" si="150"/>
        <v>0</v>
      </c>
      <c r="CM29" s="966">
        <f t="shared" si="151"/>
        <v>0</v>
      </c>
      <c r="CN29" s="722">
        <f>[1]Субсидия_факт!FT27</f>
        <v>0</v>
      </c>
      <c r="CO29" s="966">
        <f t="shared" si="151"/>
        <v>0</v>
      </c>
      <c r="CP29" s="722"/>
      <c r="CQ29" s="1064">
        <f>[1]Субсидия_факт!FV27</f>
        <v>0</v>
      </c>
      <c r="CR29" s="940"/>
      <c r="CS29" s="552">
        <f>[1]Субсидия_факт!FX27</f>
        <v>0</v>
      </c>
      <c r="CT29" s="940"/>
      <c r="CU29" s="555">
        <f t="shared" si="26"/>
        <v>0</v>
      </c>
      <c r="CV29" s="554">
        <f t="shared" si="27"/>
        <v>0</v>
      </c>
      <c r="CW29" s="993">
        <f>[1]Субсидия_факт!FZ27</f>
        <v>0</v>
      </c>
      <c r="CX29" s="1062"/>
      <c r="CY29" s="553">
        <f>[1]Субсидия_факт!GB27</f>
        <v>0</v>
      </c>
      <c r="CZ29" s="1173"/>
      <c r="DA29" s="1064">
        <f>[1]Субсидия_факт!GD27</f>
        <v>0</v>
      </c>
      <c r="DB29" s="940"/>
      <c r="DC29" s="555">
        <f t="shared" si="28"/>
        <v>0</v>
      </c>
      <c r="DD29" s="931">
        <f t="shared" si="29"/>
        <v>0</v>
      </c>
      <c r="DE29" s="691">
        <f>[1]Субсидия_факт!GF27</f>
        <v>0</v>
      </c>
      <c r="DF29" s="1061"/>
      <c r="DG29" s="897">
        <f t="shared" si="30"/>
        <v>0</v>
      </c>
      <c r="DH29" s="529">
        <f>[1]Субсидия_факт!EV27</f>
        <v>0</v>
      </c>
      <c r="DI29" s="896">
        <f>[1]Субсидия_факт!EX27</f>
        <v>0</v>
      </c>
      <c r="DJ29" s="899">
        <f t="shared" si="31"/>
        <v>0</v>
      </c>
      <c r="DK29" s="909"/>
      <c r="DL29" s="1130"/>
      <c r="DM29" s="553">
        <f t="shared" si="32"/>
        <v>0</v>
      </c>
      <c r="DN29" s="1066">
        <f>[1]Субсидия_факт!R27</f>
        <v>0</v>
      </c>
      <c r="DO29" s="1211">
        <f>[1]Субсидия_факт!T27</f>
        <v>0</v>
      </c>
      <c r="DP29" s="714">
        <f>[1]Субсидия_факт!V27</f>
        <v>0</v>
      </c>
      <c r="DQ29" s="1027">
        <f>[1]Субсидия_факт!X27</f>
        <v>0</v>
      </c>
      <c r="DR29" s="815">
        <f>[1]Субсидия_факт!Z27</f>
        <v>0</v>
      </c>
      <c r="DS29" s="517">
        <f>[1]Субсидия_факт!AB27</f>
        <v>0</v>
      </c>
      <c r="DT29" s="1027">
        <f>[1]Субсидия_факт!AD27</f>
        <v>0</v>
      </c>
      <c r="DU29" s="552">
        <f t="shared" si="33"/>
        <v>0</v>
      </c>
      <c r="DV29" s="559"/>
      <c r="DW29" s="558"/>
      <c r="DX29" s="719"/>
      <c r="DY29" s="558"/>
      <c r="DZ29" s="719"/>
      <c r="EA29" s="559"/>
      <c r="EB29" s="987"/>
      <c r="EC29" s="897">
        <f t="shared" si="34"/>
        <v>0</v>
      </c>
      <c r="ED29" s="529">
        <f>[1]Субсидия_факт!BN27</f>
        <v>0</v>
      </c>
      <c r="EE29" s="896">
        <f>[1]Субсидия_факт!BP27</f>
        <v>0</v>
      </c>
      <c r="EF29" s="899">
        <f t="shared" si="35"/>
        <v>0</v>
      </c>
      <c r="EG29" s="909"/>
      <c r="EH29" s="1130"/>
      <c r="EI29" s="553">
        <f t="shared" si="152"/>
        <v>2980082.37</v>
      </c>
      <c r="EJ29" s="470">
        <f>[1]Субсидия_факт!AJ27</f>
        <v>120407.37</v>
      </c>
      <c r="EK29" s="722">
        <f>[1]Субсидия_факт!AL27</f>
        <v>2859675</v>
      </c>
      <c r="EL29" s="450">
        <f>[1]Субсидия_факт!AN27</f>
        <v>0</v>
      </c>
      <c r="EM29" s="722">
        <f>[1]Субсидия_факт!AP27</f>
        <v>0</v>
      </c>
      <c r="EN29" s="552">
        <f t="shared" si="153"/>
        <v>0</v>
      </c>
      <c r="EO29" s="1126"/>
      <c r="EP29" s="719"/>
      <c r="EQ29" s="1126"/>
      <c r="ER29" s="719"/>
      <c r="ES29" s="897">
        <f t="shared" si="36"/>
        <v>0</v>
      </c>
      <c r="ET29" s="529">
        <f>[1]Субсидия_факт!AX27</f>
        <v>0</v>
      </c>
      <c r="EU29" s="789">
        <f>[1]Субсидия_факт!AZ27</f>
        <v>0</v>
      </c>
      <c r="EV29" s="899">
        <f t="shared" si="37"/>
        <v>0</v>
      </c>
      <c r="EW29" s="909"/>
      <c r="EX29" s="715"/>
      <c r="EY29" s="897">
        <f t="shared" si="38"/>
        <v>0</v>
      </c>
      <c r="EZ29" s="529">
        <f>[1]Субсидия_факт!BZ27</f>
        <v>0</v>
      </c>
      <c r="FA29" s="896">
        <f>[1]Субсидия_факт!CB27</f>
        <v>0</v>
      </c>
      <c r="FB29" s="899">
        <f t="shared" si="39"/>
        <v>0</v>
      </c>
      <c r="FC29" s="909"/>
      <c r="FD29" s="715"/>
      <c r="FE29" s="897">
        <f t="shared" si="40"/>
        <v>0</v>
      </c>
      <c r="FF29" s="529">
        <f>[1]Субсидия_факт!BR27</f>
        <v>0</v>
      </c>
      <c r="FG29" s="896">
        <f>[1]Субсидия_факт!BT27</f>
        <v>0</v>
      </c>
      <c r="FH29" s="899">
        <f t="shared" si="41"/>
        <v>0</v>
      </c>
      <c r="FI29" s="909"/>
      <c r="FJ29" s="715"/>
      <c r="FK29" s="897">
        <f t="shared" si="42"/>
        <v>0</v>
      </c>
      <c r="FL29" s="529">
        <f>[1]Субсидия_факт!KJ27</f>
        <v>0</v>
      </c>
      <c r="FM29" s="896">
        <f>[1]Субсидия_факт!KL27</f>
        <v>0</v>
      </c>
      <c r="FN29" s="899">
        <f t="shared" si="43"/>
        <v>0</v>
      </c>
      <c r="FO29" s="909"/>
      <c r="FP29" s="715"/>
      <c r="FQ29" s="897">
        <f t="shared" si="44"/>
        <v>0</v>
      </c>
      <c r="FR29" s="529">
        <f>[1]Субсидия_факт!KN27</f>
        <v>0</v>
      </c>
      <c r="FS29" s="896">
        <f>[1]Субсидия_факт!KR27</f>
        <v>0</v>
      </c>
      <c r="FT29" s="899">
        <f t="shared" si="45"/>
        <v>0</v>
      </c>
      <c r="FU29" s="909"/>
      <c r="FV29" s="715"/>
      <c r="FW29" s="695">
        <f t="shared" si="154"/>
        <v>0</v>
      </c>
      <c r="FX29" s="697">
        <f t="shared" si="155"/>
        <v>0</v>
      </c>
      <c r="FY29" s="695">
        <f t="shared" si="156"/>
        <v>0</v>
      </c>
      <c r="FZ29" s="697">
        <f t="shared" si="157"/>
        <v>0</v>
      </c>
      <c r="GA29" s="504">
        <f t="shared" si="158"/>
        <v>0</v>
      </c>
      <c r="GB29" s="1374">
        <f>[1]Субсидия_факт!BJ27</f>
        <v>0</v>
      </c>
      <c r="GC29" s="706">
        <f>[1]Субсидия_факт!BL27</f>
        <v>0</v>
      </c>
      <c r="GD29" s="504">
        <f t="shared" si="159"/>
        <v>0</v>
      </c>
      <c r="GE29" s="760"/>
      <c r="GF29" s="708"/>
      <c r="GG29" s="897">
        <f t="shared" si="46"/>
        <v>0</v>
      </c>
      <c r="GH29" s="760"/>
      <c r="GI29" s="708"/>
      <c r="GJ29" s="529"/>
      <c r="GK29" s="896"/>
      <c r="GL29" s="899">
        <f t="shared" si="47"/>
        <v>0</v>
      </c>
      <c r="GM29" s="760"/>
      <c r="GN29" s="708"/>
      <c r="GO29" s="760"/>
      <c r="GP29" s="708"/>
      <c r="GQ29" s="471">
        <f t="shared" si="160"/>
        <v>537031.42000000004</v>
      </c>
      <c r="GR29" s="1374">
        <f>[1]Субсидия_факт!GJ27</f>
        <v>0</v>
      </c>
      <c r="GS29" s="706">
        <f>[1]Субсидия_факт!GN27</f>
        <v>0</v>
      </c>
      <c r="GT29" s="529">
        <f>[1]Субсидия_факт!GX27</f>
        <v>315194.07</v>
      </c>
      <c r="GU29" s="896">
        <f>[1]Субсидия_факт!HB27</f>
        <v>221837.35</v>
      </c>
      <c r="GV29" s="471">
        <f t="shared" si="161"/>
        <v>266239.28999999998</v>
      </c>
      <c r="GW29" s="760"/>
      <c r="GX29" s="708"/>
      <c r="GY29" s="760">
        <v>156260.96</v>
      </c>
      <c r="GZ29" s="708">
        <v>109978.33</v>
      </c>
      <c r="HA29" s="695">
        <f t="shared" si="162"/>
        <v>186091.04</v>
      </c>
      <c r="HB29" s="1374">
        <f t="shared" si="48"/>
        <v>0</v>
      </c>
      <c r="HC29" s="1375">
        <f t="shared" si="49"/>
        <v>0</v>
      </c>
      <c r="HD29" s="529">
        <f t="shared" si="50"/>
        <v>109220.41</v>
      </c>
      <c r="HE29" s="896">
        <f t="shared" si="51"/>
        <v>76870.63</v>
      </c>
      <c r="HF29" s="695">
        <f t="shared" si="163"/>
        <v>0</v>
      </c>
      <c r="HG29" s="1374">
        <f t="shared" si="52"/>
        <v>0</v>
      </c>
      <c r="HH29" s="1375">
        <f t="shared" si="53"/>
        <v>0</v>
      </c>
      <c r="HI29" s="529">
        <f t="shared" si="54"/>
        <v>0</v>
      </c>
      <c r="HJ29" s="896">
        <f t="shared" si="55"/>
        <v>0</v>
      </c>
      <c r="HK29" s="695">
        <f t="shared" si="164"/>
        <v>350940.38</v>
      </c>
      <c r="HL29" s="1374">
        <f>[1]Субсидия_факт!GL27</f>
        <v>0</v>
      </c>
      <c r="HM29" s="706">
        <f>[1]Субсидия_факт!GP27</f>
        <v>0</v>
      </c>
      <c r="HN29" s="529">
        <f>[1]Субсидия_факт!GZ27</f>
        <v>205973.66</v>
      </c>
      <c r="HO29" s="896">
        <f>[1]Субсидия_факт!HD27</f>
        <v>144966.72</v>
      </c>
      <c r="HP29" s="695">
        <f t="shared" si="165"/>
        <v>266239.28999999998</v>
      </c>
      <c r="HQ29" s="760"/>
      <c r="HR29" s="708"/>
      <c r="HS29" s="760">
        <v>156260.96</v>
      </c>
      <c r="HT29" s="708">
        <v>109978.33</v>
      </c>
      <c r="HU29" s="553">
        <f t="shared" si="56"/>
        <v>0</v>
      </c>
      <c r="HV29" s="1502">
        <f>[1]Субсидия_факт!N27</f>
        <v>0</v>
      </c>
      <c r="HW29" s="1503">
        <f>[1]Субсидия_факт!P27</f>
        <v>0</v>
      </c>
      <c r="HX29" s="552">
        <f t="shared" si="57"/>
        <v>0</v>
      </c>
      <c r="HY29" s="558"/>
      <c r="HZ29" s="740"/>
      <c r="IA29" s="553">
        <f t="shared" si="58"/>
        <v>0</v>
      </c>
      <c r="IB29" s="1066">
        <f>[1]Субсидия_факт!DZ27</f>
        <v>0</v>
      </c>
      <c r="IC29" s="722">
        <f>[1]Субсидия_факт!EB27</f>
        <v>0</v>
      </c>
      <c r="ID29" s="1064">
        <f t="shared" si="59"/>
        <v>0</v>
      </c>
      <c r="IE29" s="558"/>
      <c r="IF29" s="740"/>
      <c r="IG29" s="553">
        <f t="shared" si="166"/>
        <v>0</v>
      </c>
      <c r="IH29" s="911">
        <f>[1]Субсидия_факт!EP27</f>
        <v>0</v>
      </c>
      <c r="II29" s="906">
        <f>[1]Субсидия_факт!ER27</f>
        <v>0</v>
      </c>
      <c r="IJ29" s="552">
        <f t="shared" si="167"/>
        <v>0</v>
      </c>
      <c r="IK29" s="558"/>
      <c r="IL29" s="740"/>
      <c r="IM29" s="907">
        <f t="shared" si="62"/>
        <v>2648692.42</v>
      </c>
      <c r="IN29" s="529">
        <f>[1]Субсидия_факт!ED27</f>
        <v>741637.52</v>
      </c>
      <c r="IO29" s="896">
        <f>[1]Субсидия_факт!EJ27</f>
        <v>1907054.9</v>
      </c>
      <c r="IP29" s="899">
        <f t="shared" si="63"/>
        <v>2567832.42</v>
      </c>
      <c r="IQ29" s="908">
        <v>718996.61</v>
      </c>
      <c r="IR29" s="715">
        <v>1848835.81</v>
      </c>
      <c r="IS29" s="899">
        <f t="shared" si="64"/>
        <v>897923.32000000007</v>
      </c>
      <c r="IT29" s="529">
        <f>[1]Субсидия_факт!EF27</f>
        <v>251419.76</v>
      </c>
      <c r="IU29" s="789">
        <f>[1]Субсидия_факт!EL27</f>
        <v>646503.56000000006</v>
      </c>
      <c r="IV29" s="899">
        <f t="shared" si="65"/>
        <v>897923.32000000007</v>
      </c>
      <c r="IW29" s="904">
        <f>IT29</f>
        <v>251419.76</v>
      </c>
      <c r="IX29" s="1610">
        <f>IU29</f>
        <v>646503.56000000006</v>
      </c>
      <c r="IY29" s="900">
        <f t="shared" si="66"/>
        <v>0</v>
      </c>
      <c r="IZ29" s="901">
        <f>'План и исполнение'!IT29-'План и исполнение'!JF29</f>
        <v>0</v>
      </c>
      <c r="JA29" s="902">
        <f>'План и исполнение'!IU29-'План и исполнение'!JG29</f>
        <v>0</v>
      </c>
      <c r="JB29" s="903">
        <f t="shared" si="67"/>
        <v>0</v>
      </c>
      <c r="JC29" s="904">
        <f>'План и исполнение'!IW29-'План и исполнение'!JI29</f>
        <v>0</v>
      </c>
      <c r="JD29" s="905">
        <f>'План и исполнение'!IX29-'План и исполнение'!JJ29</f>
        <v>0</v>
      </c>
      <c r="JE29" s="900">
        <f t="shared" si="68"/>
        <v>897923.32000000007</v>
      </c>
      <c r="JF29" s="529">
        <f>[1]Субсидия_факт!EH27</f>
        <v>251419.76</v>
      </c>
      <c r="JG29" s="896">
        <f>[1]Субсидия_факт!EN27</f>
        <v>646503.56000000006</v>
      </c>
      <c r="JH29" s="900">
        <f t="shared" si="69"/>
        <v>897923.32000000007</v>
      </c>
      <c r="JI29" s="898">
        <f>JF29</f>
        <v>251419.76</v>
      </c>
      <c r="JJ29" s="906">
        <f>JG29</f>
        <v>646503.56000000006</v>
      </c>
      <c r="JK29" s="899">
        <f t="shared" si="70"/>
        <v>0</v>
      </c>
      <c r="JL29" s="793">
        <f>[1]Субсидия_факт!AR27</f>
        <v>0</v>
      </c>
      <c r="JM29" s="706">
        <f>[1]Субсидия_факт!AT27</f>
        <v>0</v>
      </c>
      <c r="JN29" s="899">
        <f t="shared" si="71"/>
        <v>0</v>
      </c>
      <c r="JO29" s="793"/>
      <c r="JP29" s="706"/>
      <c r="JQ29" s="785">
        <f t="shared" si="72"/>
        <v>0</v>
      </c>
      <c r="JR29" s="793">
        <f>[1]Субсидия_факт!CJ27</f>
        <v>0</v>
      </c>
      <c r="JS29" s="706">
        <f>[1]Субсидия_факт!CP27</f>
        <v>0</v>
      </c>
      <c r="JT29" s="529">
        <f>[1]Субсидия_факт!DN27</f>
        <v>0</v>
      </c>
      <c r="JU29" s="896">
        <f>[1]Субсидия_факт!DT27</f>
        <v>0</v>
      </c>
      <c r="JV29" s="471">
        <f t="shared" si="73"/>
        <v>0</v>
      </c>
      <c r="JW29" s="866"/>
      <c r="JX29" s="715"/>
      <c r="JY29" s="866"/>
      <c r="JZ29" s="910"/>
      <c r="KA29" s="785">
        <f t="shared" si="74"/>
        <v>31500000</v>
      </c>
      <c r="KB29" s="793">
        <f>[1]Субсидия_факт!CL27</f>
        <v>8820000</v>
      </c>
      <c r="KC29" s="706">
        <f>[1]Субсидия_факт!CR27</f>
        <v>22680000</v>
      </c>
      <c r="KD29" s="529">
        <f>[1]Субсидия_факт!DP27</f>
        <v>0</v>
      </c>
      <c r="KE29" s="896">
        <f>[1]Субсидия_факт!DV27</f>
        <v>0</v>
      </c>
      <c r="KF29" s="471">
        <f t="shared" si="75"/>
        <v>1086095.5899999999</v>
      </c>
      <c r="KG29" s="866">
        <v>304106.77</v>
      </c>
      <c r="KH29" s="715">
        <v>781988.82</v>
      </c>
      <c r="KI29" s="909"/>
      <c r="KJ29" s="715"/>
      <c r="KK29" s="788">
        <f t="shared" si="76"/>
        <v>31500000</v>
      </c>
      <c r="KL29" s="904">
        <f>'План и исполнение'!KB29-KV29</f>
        <v>8820000</v>
      </c>
      <c r="KM29" s="902">
        <f>'План и исполнение'!KC29-KW29</f>
        <v>22680000</v>
      </c>
      <c r="KN29" s="901">
        <f>'План и исполнение'!KD29-KX29</f>
        <v>0</v>
      </c>
      <c r="KO29" s="902">
        <f>'План и исполнение'!KE29-KY29</f>
        <v>0</v>
      </c>
      <c r="KP29" s="788">
        <f t="shared" si="77"/>
        <v>1086095.5899999999</v>
      </c>
      <c r="KQ29" s="1091">
        <f>'План и исполнение'!KG29-LA29</f>
        <v>304106.77</v>
      </c>
      <c r="KR29" s="1092">
        <f>'План и исполнение'!KH29-LB29</f>
        <v>781988.82</v>
      </c>
      <c r="KS29" s="904">
        <f>'План и исполнение'!KI29-LC29</f>
        <v>0</v>
      </c>
      <c r="KT29" s="905">
        <f>'План и исполнение'!KJ29-LD29</f>
        <v>0</v>
      </c>
      <c r="KU29" s="697">
        <f t="shared" si="78"/>
        <v>0</v>
      </c>
      <c r="KV29" s="793">
        <f>[1]Субсидия_факт!CN27</f>
        <v>0</v>
      </c>
      <c r="KW29" s="706">
        <f>[1]Субсидия_факт!CT27</f>
        <v>0</v>
      </c>
      <c r="KX29" s="529">
        <f>[1]Субсидия_факт!DR27</f>
        <v>0</v>
      </c>
      <c r="KY29" s="896">
        <f>[1]Субсидия_факт!DX27</f>
        <v>0</v>
      </c>
      <c r="KZ29" s="697">
        <f t="shared" si="79"/>
        <v>0</v>
      </c>
      <c r="LA29" s="866"/>
      <c r="LB29" s="715"/>
      <c r="LC29" s="911"/>
      <c r="LD29" s="1640"/>
      <c r="LE29" s="504">
        <f t="shared" si="168"/>
        <v>0</v>
      </c>
      <c r="LF29" s="529">
        <f>[1]Субсидия_факт!CD27</f>
        <v>0</v>
      </c>
      <c r="LG29" s="789">
        <f>[1]Субсидия_факт!CF27</f>
        <v>0</v>
      </c>
      <c r="LH29" s="529">
        <f>[1]Субсидия_факт!BV27</f>
        <v>0</v>
      </c>
      <c r="LI29" s="789">
        <f>[1]Субсидия_факт!BX27</f>
        <v>0</v>
      </c>
      <c r="LJ29" s="529">
        <f>[1]Субсидия_факт!CH27</f>
        <v>0</v>
      </c>
      <c r="LK29" s="471">
        <f t="shared" si="169"/>
        <v>0</v>
      </c>
      <c r="LL29" s="866"/>
      <c r="LM29" s="715"/>
      <c r="LN29" s="866"/>
      <c r="LO29" s="715"/>
      <c r="LP29" s="866"/>
      <c r="LQ29" s="504">
        <f t="shared" si="80"/>
        <v>0</v>
      </c>
      <c r="LR29" s="517">
        <f>[1]Субсидия_факт!HN27</f>
        <v>0</v>
      </c>
      <c r="LS29" s="529">
        <f>[1]Субсидия_факт!HL27</f>
        <v>0</v>
      </c>
      <c r="LT29" s="1066">
        <f>[1]Субсидия_факт!HV27</f>
        <v>0</v>
      </c>
      <c r="LU29" s="722">
        <f>[1]Субсидия_факт!HX27</f>
        <v>0</v>
      </c>
      <c r="LV29" s="471">
        <f t="shared" si="81"/>
        <v>0</v>
      </c>
      <c r="LW29" s="941"/>
      <c r="LX29" s="866"/>
      <c r="LY29" s="942"/>
      <c r="LZ29" s="825"/>
      <c r="MA29" s="471">
        <f t="shared" si="82"/>
        <v>0</v>
      </c>
      <c r="MB29" s="531">
        <f>[1]Субсидия_факт!HT27</f>
        <v>0</v>
      </c>
      <c r="MC29" s="531">
        <f>[1]Субсидия_факт!HP27</f>
        <v>0</v>
      </c>
      <c r="MD29" s="789">
        <f>[1]Субсидия_факт!HR27</f>
        <v>0</v>
      </c>
      <c r="ME29" s="471">
        <f t="shared" si="83"/>
        <v>0</v>
      </c>
      <c r="MF29" s="793">
        <f t="shared" si="170"/>
        <v>0</v>
      </c>
      <c r="MG29" s="866"/>
      <c r="MH29" s="715"/>
      <c r="MI29" s="893">
        <f t="shared" si="84"/>
        <v>0</v>
      </c>
      <c r="MJ29" s="893">
        <f t="shared" si="85"/>
        <v>0</v>
      </c>
      <c r="MK29" s="695">
        <f t="shared" si="86"/>
        <v>0</v>
      </c>
      <c r="ML29" s="1028">
        <f t="shared" si="87"/>
        <v>0</v>
      </c>
      <c r="MM29" s="791">
        <f t="shared" si="216"/>
        <v>0</v>
      </c>
      <c r="MN29" s="529">
        <f>[1]Субсидия_факт!LH27</f>
        <v>0</v>
      </c>
      <c r="MO29" s="896">
        <f>[1]Субсидия_факт!LN27</f>
        <v>0</v>
      </c>
      <c r="MP29" s="531"/>
      <c r="MQ29" s="791">
        <f t="shared" si="171"/>
        <v>0</v>
      </c>
      <c r="MR29" s="909"/>
      <c r="MS29" s="715"/>
      <c r="MT29" s="911"/>
      <c r="MU29" s="791">
        <f t="shared" si="172"/>
        <v>25400000</v>
      </c>
      <c r="MV29" s="529">
        <f>[1]Субсидия_факт!LJ27</f>
        <v>870000</v>
      </c>
      <c r="MW29" s="896">
        <f>[1]Субсидия_факт!LP27</f>
        <v>16530000</v>
      </c>
      <c r="MX29" s="531">
        <f>[1]Субсидия_факт!LT27</f>
        <v>8000000</v>
      </c>
      <c r="MY29" s="791">
        <f t="shared" si="173"/>
        <v>8547883.879999999</v>
      </c>
      <c r="MZ29" s="866">
        <v>48916.160000000003</v>
      </c>
      <c r="NA29" s="803">
        <v>929407.13</v>
      </c>
      <c r="NB29" s="650">
        <v>7569560.5899999999</v>
      </c>
      <c r="NC29" s="792">
        <f t="shared" si="175"/>
        <v>8000000</v>
      </c>
      <c r="ND29" s="913">
        <f>'План и исполнение'!MV29-NL29</f>
        <v>0</v>
      </c>
      <c r="NE29" s="914">
        <f>'План и исполнение'!MW29-NM29</f>
        <v>0</v>
      </c>
      <c r="NF29" s="915">
        <f>'План и исполнение'!MX29-NN29</f>
        <v>8000000</v>
      </c>
      <c r="NG29" s="792">
        <f t="shared" si="176"/>
        <v>7569560.5899999999</v>
      </c>
      <c r="NH29" s="901">
        <f>'План и исполнение'!MZ29-NP29</f>
        <v>0</v>
      </c>
      <c r="NI29" s="902">
        <f>'План и исполнение'!NA29-NQ29</f>
        <v>0</v>
      </c>
      <c r="NJ29" s="904">
        <f>'План и исполнение'!NB29-NR29</f>
        <v>7569560.5899999999</v>
      </c>
      <c r="NK29" s="792">
        <f t="shared" si="177"/>
        <v>17400000</v>
      </c>
      <c r="NL29" s="529">
        <f>[1]Субсидия_факт!LL27</f>
        <v>870000</v>
      </c>
      <c r="NM29" s="896">
        <f>[1]Субсидия_факт!LR27</f>
        <v>16530000</v>
      </c>
      <c r="NN29" s="529">
        <f>[1]Субсидия_факт!LV27</f>
        <v>0</v>
      </c>
      <c r="NO29" s="792">
        <f t="shared" si="178"/>
        <v>978323.29</v>
      </c>
      <c r="NP29" s="787">
        <f t="shared" si="179"/>
        <v>48916.160000000003</v>
      </c>
      <c r="NQ29" s="706">
        <f t="shared" si="180"/>
        <v>929407.13</v>
      </c>
      <c r="NR29" s="529">
        <f t="shared" si="215"/>
        <v>0</v>
      </c>
      <c r="NS29" s="552">
        <f t="shared" si="181"/>
        <v>0</v>
      </c>
      <c r="NT29" s="1286">
        <f>[1]Субсидия_факт!NF27</f>
        <v>0</v>
      </c>
      <c r="NU29" s="714">
        <f>[1]Субсидия_факт!NH27</f>
        <v>0</v>
      </c>
      <c r="NV29" s="552">
        <f t="shared" si="182"/>
        <v>0</v>
      </c>
      <c r="NW29" s="943"/>
      <c r="NX29" s="1282"/>
      <c r="NY29" s="552">
        <f t="shared" si="183"/>
        <v>4481298.58</v>
      </c>
      <c r="NZ29" s="1195">
        <f>[1]Субсидия_факт!LX27</f>
        <v>0</v>
      </c>
      <c r="OA29" s="1296">
        <f>[1]Субсидия_факт!MB27</f>
        <v>0</v>
      </c>
      <c r="OB29" s="1195">
        <f>[1]Субсидия_факт!MF27</f>
        <v>1254763.6099999999</v>
      </c>
      <c r="OC29" s="714">
        <f>[1]Субсидия_факт!MJ27</f>
        <v>3226534.9699999997</v>
      </c>
      <c r="OD29" s="1286">
        <f>[1]Субсидия_факт!NJ27</f>
        <v>0</v>
      </c>
      <c r="OE29" s="714">
        <f>[1]Субсидия_факт!NN27</f>
        <v>0</v>
      </c>
      <c r="OF29" s="552">
        <f t="shared" si="184"/>
        <v>321398.7</v>
      </c>
      <c r="OG29" s="943"/>
      <c r="OH29" s="1282"/>
      <c r="OI29" s="1604">
        <v>89991.64</v>
      </c>
      <c r="OJ29" s="1605">
        <v>231407.06</v>
      </c>
      <c r="OK29" s="943"/>
      <c r="OL29" s="1282"/>
      <c r="OM29" s="993">
        <f t="shared" si="185"/>
        <v>4481298.58</v>
      </c>
      <c r="ON29" s="1195">
        <f t="shared" si="88"/>
        <v>0</v>
      </c>
      <c r="OO29" s="714">
        <f t="shared" si="89"/>
        <v>0</v>
      </c>
      <c r="OP29" s="989">
        <f t="shared" si="90"/>
        <v>1254763.6099999999</v>
      </c>
      <c r="OQ29" s="714">
        <f t="shared" si="91"/>
        <v>3226534.9699999997</v>
      </c>
      <c r="OR29" s="1286">
        <f t="shared" si="92"/>
        <v>0</v>
      </c>
      <c r="OS29" s="714">
        <f t="shared" si="93"/>
        <v>0</v>
      </c>
      <c r="OT29" s="993">
        <f t="shared" si="186"/>
        <v>321398.7</v>
      </c>
      <c r="OU29" s="1195">
        <f t="shared" si="94"/>
        <v>0</v>
      </c>
      <c r="OV29" s="714">
        <f t="shared" si="95"/>
        <v>0</v>
      </c>
      <c r="OW29" s="989">
        <f t="shared" si="96"/>
        <v>89991.64</v>
      </c>
      <c r="OX29" s="714">
        <f t="shared" si="97"/>
        <v>231407.06</v>
      </c>
      <c r="OY29" s="1286">
        <f t="shared" si="98"/>
        <v>0</v>
      </c>
      <c r="OZ29" s="714">
        <f t="shared" si="99"/>
        <v>0</v>
      </c>
      <c r="PA29" s="993">
        <f t="shared" si="187"/>
        <v>0</v>
      </c>
      <c r="PB29" s="1195">
        <f>[1]Субсидия_факт!LZ27</f>
        <v>0</v>
      </c>
      <c r="PC29" s="1296">
        <f>[1]Субсидия_факт!MD27</f>
        <v>0</v>
      </c>
      <c r="PD29" s="1195">
        <f>[1]Субсидия_факт!MH27</f>
        <v>0</v>
      </c>
      <c r="PE29" s="714">
        <f>[1]Субсидия_факт!ML27</f>
        <v>0</v>
      </c>
      <c r="PF29" s="992">
        <f>[1]Субсидия_факт!NL27</f>
        <v>0</v>
      </c>
      <c r="PG29" s="1627">
        <f>[1]Субсидия_факт!NP27</f>
        <v>0</v>
      </c>
      <c r="PH29" s="993">
        <f t="shared" si="188"/>
        <v>0</v>
      </c>
      <c r="PI29" s="1628"/>
      <c r="PJ29" s="1282"/>
      <c r="PK29" s="943"/>
      <c r="PL29" s="1282"/>
      <c r="PM29" s="943"/>
      <c r="PN29" s="1282"/>
      <c r="PO29" s="897">
        <f t="shared" si="100"/>
        <v>0</v>
      </c>
      <c r="PP29" s="529">
        <f>[1]Субсидия_факт!AF27</f>
        <v>0</v>
      </c>
      <c r="PQ29" s="896">
        <f>[1]Субсидия_факт!AH27</f>
        <v>0</v>
      </c>
      <c r="PR29" s="899">
        <f t="shared" si="101"/>
        <v>0</v>
      </c>
      <c r="PS29" s="909"/>
      <c r="PT29" s="715"/>
      <c r="PU29" s="552">
        <f t="shared" si="102"/>
        <v>0</v>
      </c>
      <c r="PV29" s="1027">
        <f>[1]Субсидия_факт!MN27</f>
        <v>0</v>
      </c>
      <c r="PW29" s="815">
        <f>[1]Субсидия_факт!MP27</f>
        <v>0</v>
      </c>
      <c r="PX29" s="552">
        <f t="shared" si="103"/>
        <v>0</v>
      </c>
      <c r="PY29" s="1378"/>
      <c r="PZ29" s="825"/>
      <c r="QA29" s="552">
        <f t="shared" si="104"/>
        <v>0</v>
      </c>
      <c r="QB29" s="1195">
        <f>[1]Субсидия_факт!MR27</f>
        <v>0</v>
      </c>
      <c r="QC29" s="714">
        <f>[1]Субсидия_факт!MV27</f>
        <v>0</v>
      </c>
      <c r="QD29" s="552">
        <f t="shared" si="105"/>
        <v>0</v>
      </c>
      <c r="QE29" s="942"/>
      <c r="QF29" s="825"/>
      <c r="QG29" s="993">
        <f t="shared" si="106"/>
        <v>0</v>
      </c>
      <c r="QH29" s="1195">
        <f t="shared" si="107"/>
        <v>0</v>
      </c>
      <c r="QI29" s="714">
        <f t="shared" si="108"/>
        <v>0</v>
      </c>
      <c r="QJ29" s="993">
        <f t="shared" si="109"/>
        <v>0</v>
      </c>
      <c r="QK29" s="1195">
        <f t="shared" si="110"/>
        <v>0</v>
      </c>
      <c r="QL29" s="714">
        <f t="shared" si="111"/>
        <v>0</v>
      </c>
      <c r="QM29" s="993">
        <f t="shared" si="112"/>
        <v>0</v>
      </c>
      <c r="QN29" s="1211">
        <f>[1]Субсидия_факт!MT27</f>
        <v>0</v>
      </c>
      <c r="QO29" s="714">
        <f>[1]Субсидия_факт!MX27</f>
        <v>0</v>
      </c>
      <c r="QP29" s="993">
        <f t="shared" si="113"/>
        <v>0</v>
      </c>
      <c r="QQ29" s="942"/>
      <c r="QR29" s="825"/>
      <c r="QS29" s="879">
        <f>'Прочая  субсидия_МР  и  ГО'!B25</f>
        <v>59874971.969999991</v>
      </c>
      <c r="QT29" s="879">
        <f>'Прочая  субсидия_МР  и  ГО'!C25</f>
        <v>6348473.6400000006</v>
      </c>
      <c r="QU29" s="916">
        <f>'Прочая  субсидия_БП'!B25</f>
        <v>16869043.329999998</v>
      </c>
      <c r="QV29" s="917">
        <f>'Прочая  субсидия_БП'!C25</f>
        <v>4269685.41</v>
      </c>
      <c r="QW29" s="918">
        <f>'Прочая  субсидия_БП'!D25</f>
        <v>13515062.58</v>
      </c>
      <c r="QX29" s="919">
        <f>'Прочая  субсидия_БП'!E25</f>
        <v>2260949.41</v>
      </c>
      <c r="QY29" s="920">
        <f>'Прочая  субсидия_БП'!F25</f>
        <v>3353980.75</v>
      </c>
      <c r="QZ29" s="918">
        <f>'Прочая  субсидия_БП'!G25</f>
        <v>2008736</v>
      </c>
      <c r="RA29" s="553">
        <f t="shared" si="189"/>
        <v>336425562</v>
      </c>
      <c r="RB29" s="470">
        <f>'План и исполнение'!RZ29+'План и исполнение'!RG29+'План и исполнение'!RI29+'План и исполнение'!RK29</f>
        <v>331914662</v>
      </c>
      <c r="RC29" s="345">
        <f>'План и исполнение'!SB29+'План и исполнение'!RM29+'План и исполнение'!RS29+'План и исполнение'!RO29+'План и исполнение'!RQ29+RU29+RW29+SA29</f>
        <v>4510900</v>
      </c>
      <c r="RD29" s="1064">
        <f t="shared" si="190"/>
        <v>183239473.34999999</v>
      </c>
      <c r="RE29" s="1066">
        <f>'План и исполнение'!SD29+'План и исполнение'!RH29+'План и исполнение'!RJ29+'План и исполнение'!RL29</f>
        <v>181292445</v>
      </c>
      <c r="RF29" s="345">
        <f>'План и исполнение'!SF29+'План и исполнение'!RN29+'План и исполнение'!RT29+'План и исполнение'!RP29+'План и исполнение'!RR29+RV29+RX29+SE29</f>
        <v>1947028.35</v>
      </c>
      <c r="RG29" s="599">
        <f>'Субвенция  на  полномочия'!B25</f>
        <v>318140162</v>
      </c>
      <c r="RH29" s="471">
        <f>'Субвенция  на  полномочия'!C25</f>
        <v>174628445</v>
      </c>
      <c r="RI29" s="768">
        <f>[1]Субвенция_факт!P26*1000</f>
        <v>8624000</v>
      </c>
      <c r="RJ29" s="771">
        <v>4400000</v>
      </c>
      <c r="RK29" s="768">
        <f>[1]Субвенция_факт!K26*1000</f>
        <v>3813100</v>
      </c>
      <c r="RL29" s="771">
        <v>1450000</v>
      </c>
      <c r="RM29" s="768">
        <f>[1]Субвенция_факт!AF26*1000</f>
        <v>1908900</v>
      </c>
      <c r="RN29" s="771">
        <v>753382.40000000002</v>
      </c>
      <c r="RO29" s="768">
        <f>[1]Субвенция_факт!AG26*1000</f>
        <v>2000</v>
      </c>
      <c r="RP29" s="771">
        <v>0</v>
      </c>
      <c r="RQ29" s="768">
        <f>[1]Субвенция_факт!E26*1000</f>
        <v>0</v>
      </c>
      <c r="RR29" s="771"/>
      <c r="RS29" s="768">
        <f>[1]Субвенция_факт!F26*1000</f>
        <v>0</v>
      </c>
      <c r="RT29" s="877"/>
      <c r="RU29" s="462">
        <f>[1]Субвенция_факт!G26*1000</f>
        <v>0</v>
      </c>
      <c r="RV29" s="1241"/>
      <c r="RW29" s="462">
        <f>[1]Субвенция_факт!H26*1000</f>
        <v>0</v>
      </c>
      <c r="RX29" s="878"/>
      <c r="RY29" s="504">
        <f t="shared" si="191"/>
        <v>3937400</v>
      </c>
      <c r="RZ29" s="1156">
        <f>[1]Субвенция_факт!AE26*1000</f>
        <v>1337400</v>
      </c>
      <c r="SA29" s="883">
        <f>[1]Субвенция_факт!AD26*1000</f>
        <v>200000</v>
      </c>
      <c r="SB29" s="1647">
        <f>[1]Субвенция_факт!AC26*1000</f>
        <v>2400000</v>
      </c>
      <c r="SC29" s="879">
        <f t="shared" si="116"/>
        <v>2007645.95</v>
      </c>
      <c r="SD29" s="974">
        <v>814000</v>
      </c>
      <c r="SE29" s="1645"/>
      <c r="SF29" s="1652">
        <v>1193645.95</v>
      </c>
      <c r="SG29" s="280">
        <f>'План и исполнение'!VI29+'План и исполнение'!VA29+'План и исполнение'!TA29+'План и исполнение'!TE29+UO29+UU29+SO29+SS29+TM29+TQ29+UE29+SI29+TY29</f>
        <v>75500000</v>
      </c>
      <c r="SH29" s="462">
        <f>'План и исполнение'!VK29+'План и исполнение'!VE29+'План и исполнение'!TC29+'План и исполнение'!TG29+UR29+UX29+SQ29+SU29+TO29+TS29+UH29+SL29+UB29</f>
        <v>749900</v>
      </c>
      <c r="SI29" s="916">
        <f t="shared" si="117"/>
        <v>0</v>
      </c>
      <c r="SJ29" s="1156">
        <f>'[1]Иные межбюджетные трансферты'!E27</f>
        <v>0</v>
      </c>
      <c r="SK29" s="983">
        <f>'[1]Иные межбюджетные трансферты'!G27</f>
        <v>0</v>
      </c>
      <c r="SL29" s="879">
        <f t="shared" si="118"/>
        <v>0</v>
      </c>
      <c r="SM29" s="1324"/>
      <c r="SN29" s="1506"/>
      <c r="SO29" s="1340">
        <f t="shared" si="192"/>
        <v>0</v>
      </c>
      <c r="SP29" s="1115">
        <f>'[1]Иные межбюджетные трансферты'!W27</f>
        <v>0</v>
      </c>
      <c r="SQ29" s="1338">
        <f t="shared" si="193"/>
        <v>0</v>
      </c>
      <c r="SR29" s="1339"/>
      <c r="SS29" s="1347">
        <f t="shared" si="194"/>
        <v>0</v>
      </c>
      <c r="ST29" s="1116">
        <f>'[1]Иные межбюджетные трансферты'!Y27</f>
        <v>0</v>
      </c>
      <c r="SU29" s="1346">
        <f t="shared" si="195"/>
        <v>0</v>
      </c>
      <c r="SV29" s="1339"/>
      <c r="SW29" s="1337">
        <f t="shared" si="196"/>
        <v>0</v>
      </c>
      <c r="SX29" s="1345">
        <f t="shared" si="197"/>
        <v>0</v>
      </c>
      <c r="SY29" s="1356">
        <f t="shared" si="198"/>
        <v>0</v>
      </c>
      <c r="SZ29" s="1345">
        <f t="shared" si="199"/>
        <v>0</v>
      </c>
      <c r="TA29" s="1351">
        <f t="shared" si="119"/>
        <v>0</v>
      </c>
      <c r="TB29" s="1116">
        <f>'[1]Иные межбюджетные трансферты'!AC27</f>
        <v>0</v>
      </c>
      <c r="TC29" s="966">
        <f t="shared" si="120"/>
        <v>0</v>
      </c>
      <c r="TD29" s="983"/>
      <c r="TE29" s="972">
        <f t="shared" si="121"/>
        <v>0</v>
      </c>
      <c r="TF29" s="1116">
        <f>'[1]Иные межбюджетные трансферты'!AE27</f>
        <v>0</v>
      </c>
      <c r="TG29" s="966">
        <f t="shared" si="122"/>
        <v>0</v>
      </c>
      <c r="TH29" s="1215"/>
      <c r="TI29" s="969">
        <f t="shared" si="123"/>
        <v>0</v>
      </c>
      <c r="TJ29" s="963">
        <f t="shared" si="124"/>
        <v>0</v>
      </c>
      <c r="TK29" s="1220">
        <f t="shared" si="200"/>
        <v>0</v>
      </c>
      <c r="TL29" s="963">
        <f t="shared" si="201"/>
        <v>0</v>
      </c>
      <c r="TM29" s="972">
        <f t="shared" si="125"/>
        <v>0</v>
      </c>
      <c r="TN29" s="1116">
        <f>'[1]Иные межбюджетные трансферты'!AI27</f>
        <v>0</v>
      </c>
      <c r="TO29" s="966">
        <f t="shared" si="126"/>
        <v>0</v>
      </c>
      <c r="TP29" s="983"/>
      <c r="TQ29" s="972">
        <f t="shared" si="127"/>
        <v>0</v>
      </c>
      <c r="TR29" s="1116">
        <f>'[1]Иные межбюджетные трансферты'!AK27</f>
        <v>0</v>
      </c>
      <c r="TS29" s="966">
        <f t="shared" si="128"/>
        <v>0</v>
      </c>
      <c r="TT29" s="1215"/>
      <c r="TU29" s="969">
        <f t="shared" si="129"/>
        <v>0</v>
      </c>
      <c r="TV29" s="963">
        <f t="shared" si="130"/>
        <v>0</v>
      </c>
      <c r="TW29" s="1220">
        <f t="shared" si="202"/>
        <v>0</v>
      </c>
      <c r="TX29" s="1491">
        <f t="shared" si="203"/>
        <v>0</v>
      </c>
      <c r="TY29" s="972">
        <f t="shared" si="204"/>
        <v>0</v>
      </c>
      <c r="TZ29" s="1211"/>
      <c r="UA29" s="714"/>
      <c r="UB29" s="972">
        <f t="shared" si="205"/>
        <v>0</v>
      </c>
      <c r="UC29" s="987"/>
      <c r="UD29" s="719"/>
      <c r="UE29" s="972">
        <f t="shared" si="206"/>
        <v>75500000</v>
      </c>
      <c r="UF29" s="1211">
        <f>'[1]Иные межбюджетные трансферты'!AS27</f>
        <v>30500000</v>
      </c>
      <c r="UG29" s="714">
        <f>'[1]Иные межбюджетные трансферты'!AW27</f>
        <v>45000000</v>
      </c>
      <c r="UH29" s="966">
        <f t="shared" si="207"/>
        <v>749900</v>
      </c>
      <c r="UI29" s="1485"/>
      <c r="UJ29" s="803">
        <v>749900</v>
      </c>
      <c r="UK29" s="1500">
        <f t="shared" si="208"/>
        <v>0</v>
      </c>
      <c r="UL29" s="1500">
        <f t="shared" si="209"/>
        <v>0</v>
      </c>
      <c r="UM29" s="1500">
        <f t="shared" si="210"/>
        <v>75500000</v>
      </c>
      <c r="UN29" s="1494">
        <f t="shared" si="211"/>
        <v>749900</v>
      </c>
      <c r="UO29" s="1267">
        <f t="shared" si="131"/>
        <v>0</v>
      </c>
      <c r="UP29" s="1029">
        <f>'[1]Иные межбюджетные трансферты'!S27</f>
        <v>0</v>
      </c>
      <c r="UQ29" s="1266">
        <f>'[1]Иные межбюджетные трансферты'!U27</f>
        <v>0</v>
      </c>
      <c r="UR29" s="769">
        <f t="shared" si="132"/>
        <v>0</v>
      </c>
      <c r="US29" s="1268"/>
      <c r="UT29" s="1269"/>
      <c r="UU29" s="1267">
        <f t="shared" si="133"/>
        <v>0</v>
      </c>
      <c r="UV29" s="1029">
        <f>'[1]Иные межбюджетные трансферты'!O27</f>
        <v>0</v>
      </c>
      <c r="UW29" s="1266">
        <f>'[1]Иные межбюджетные трансферты'!Q27</f>
        <v>0</v>
      </c>
      <c r="UX29" s="769">
        <f t="shared" si="134"/>
        <v>0</v>
      </c>
      <c r="UY29" s="1268"/>
      <c r="UZ29" s="1269"/>
      <c r="VA29" s="888">
        <f t="shared" si="212"/>
        <v>0</v>
      </c>
      <c r="VB29" s="1159">
        <f>'[1]Иные межбюджетные трансферты'!I27</f>
        <v>0</v>
      </c>
      <c r="VC29" s="1160">
        <f>'[1]Иные межбюджетные трансферты'!K27</f>
        <v>0</v>
      </c>
      <c r="VD29" s="1161">
        <f>'[1]Иные межбюджетные трансферты'!M27</f>
        <v>0</v>
      </c>
      <c r="VE29" s="888">
        <f t="shared" si="213"/>
        <v>0</v>
      </c>
      <c r="VF29" s="981"/>
      <c r="VG29" s="979"/>
      <c r="VH29" s="1324"/>
      <c r="VI29" s="528">
        <f t="shared" si="135"/>
        <v>0</v>
      </c>
      <c r="VJ29" s="883"/>
      <c r="VK29" s="1155">
        <f t="shared" si="136"/>
        <v>0</v>
      </c>
      <c r="VL29" s="531"/>
      <c r="VM29" s="893">
        <f t="shared" si="137"/>
        <v>0</v>
      </c>
      <c r="VN29" s="529"/>
      <c r="VO29" s="893">
        <f t="shared" si="138"/>
        <v>0</v>
      </c>
      <c r="VP29" s="529"/>
      <c r="VQ29" s="893">
        <f t="shared" si="139"/>
        <v>0</v>
      </c>
      <c r="VR29" s="883"/>
      <c r="VS29" s="1028">
        <f t="shared" si="140"/>
        <v>0</v>
      </c>
      <c r="VT29" s="531"/>
      <c r="VU29" s="535">
        <f>VW29+'План и исполнение'!WE29+WA29+'План и исполнение'!WI29+WC29+'План и исполнение'!WK29</f>
        <v>-36000000</v>
      </c>
      <c r="VV29" s="535">
        <f>VX29+'План и исполнение'!WF29+WB29+'План и исполнение'!WJ29+WD29+'План и исполнение'!WL29</f>
        <v>-10900000</v>
      </c>
      <c r="VW29" s="560">
        <v>15000000</v>
      </c>
      <c r="VX29" s="560">
        <v>9600000</v>
      </c>
      <c r="VY29" s="560"/>
      <c r="VZ29" s="560"/>
      <c r="WA29" s="556">
        <f t="shared" si="141"/>
        <v>0</v>
      </c>
      <c r="WB29" s="555">
        <f t="shared" si="142"/>
        <v>0</v>
      </c>
      <c r="WC29" s="561"/>
      <c r="WD29" s="557"/>
      <c r="WE29" s="560">
        <f>-36000000-15000000</f>
        <v>-51000000</v>
      </c>
      <c r="WF29" s="560">
        <v>-20500000</v>
      </c>
      <c r="WG29" s="560">
        <v>0</v>
      </c>
      <c r="WH29" s="560"/>
      <c r="WI29" s="556">
        <f t="shared" si="143"/>
        <v>0</v>
      </c>
      <c r="WJ29" s="555">
        <f t="shared" si="144"/>
        <v>0</v>
      </c>
      <c r="WK29" s="557"/>
      <c r="WL29" s="557"/>
      <c r="WM29" s="1547">
        <f>'План и исполнение'!WE29+'План и исполнение'!WG29</f>
        <v>-51000000</v>
      </c>
      <c r="WN29" s="1547">
        <f>'План и исполнение'!WF29+'План и исполнение'!WH29</f>
        <v>-20500000</v>
      </c>
    </row>
    <row r="30" spans="1:613" s="340" customFormat="1" ht="27" customHeight="1" thickBot="1" x14ac:dyDescent="0.35">
      <c r="A30" s="352" t="s">
        <v>104</v>
      </c>
      <c r="B30" s="613">
        <f t="shared" ref="B30:AG30" si="217">SUM(B12:B29)</f>
        <v>11481886715.9</v>
      </c>
      <c r="C30" s="346">
        <f t="shared" si="217"/>
        <v>5948836320.0200014</v>
      </c>
      <c r="D30" s="587">
        <f t="shared" si="217"/>
        <v>2263199080</v>
      </c>
      <c r="E30" s="451">
        <f t="shared" si="217"/>
        <v>1385710475.1300001</v>
      </c>
      <c r="F30" s="1045">
        <f t="shared" si="217"/>
        <v>1143211500</v>
      </c>
      <c r="G30" s="1558">
        <f t="shared" si="217"/>
        <v>739340224</v>
      </c>
      <c r="H30" s="1559">
        <f t="shared" si="217"/>
        <v>621519600</v>
      </c>
      <c r="I30" s="1560">
        <f t="shared" si="217"/>
        <v>353468063.85000002</v>
      </c>
      <c r="J30" s="1032">
        <f t="shared" si="217"/>
        <v>489719600</v>
      </c>
      <c r="K30" s="1033">
        <f t="shared" si="217"/>
        <v>252260288.84999999</v>
      </c>
      <c r="L30" s="1032">
        <f t="shared" si="217"/>
        <v>131800000</v>
      </c>
      <c r="M30" s="1033">
        <f t="shared" si="217"/>
        <v>101207775</v>
      </c>
      <c r="N30" s="1030">
        <f t="shared" si="217"/>
        <v>65634880</v>
      </c>
      <c r="O30" s="1036">
        <f t="shared" si="217"/>
        <v>46818380</v>
      </c>
      <c r="P30" s="1031">
        <f t="shared" si="217"/>
        <v>394333100</v>
      </c>
      <c r="Q30" s="1030">
        <f t="shared" si="217"/>
        <v>221475057.28</v>
      </c>
      <c r="R30" s="1033">
        <f t="shared" si="217"/>
        <v>368921200</v>
      </c>
      <c r="S30" s="1032">
        <f t="shared" si="217"/>
        <v>204922907.07999998</v>
      </c>
      <c r="T30" s="1033">
        <f t="shared" si="217"/>
        <v>25411900</v>
      </c>
      <c r="U30" s="1046">
        <f t="shared" si="217"/>
        <v>16552150.199999999</v>
      </c>
      <c r="V30" s="1030">
        <f t="shared" si="217"/>
        <v>27000000</v>
      </c>
      <c r="W30" s="1030">
        <f t="shared" si="217"/>
        <v>13300000</v>
      </c>
      <c r="X30" s="1034">
        <f t="shared" si="217"/>
        <v>6000000</v>
      </c>
      <c r="Y30" s="1035">
        <f t="shared" si="217"/>
        <v>7300000</v>
      </c>
      <c r="Z30" s="1034">
        <f t="shared" si="217"/>
        <v>0</v>
      </c>
      <c r="AA30" s="1030">
        <f t="shared" si="217"/>
        <v>11500000</v>
      </c>
      <c r="AB30" s="1031">
        <f t="shared" si="217"/>
        <v>11308750</v>
      </c>
      <c r="AC30" s="1035">
        <f t="shared" si="217"/>
        <v>8308750</v>
      </c>
      <c r="AD30" s="1034">
        <f t="shared" si="217"/>
        <v>3000000</v>
      </c>
      <c r="AE30" s="1032">
        <f t="shared" si="217"/>
        <v>8500000</v>
      </c>
      <c r="AF30" s="1033">
        <f t="shared" si="217"/>
        <v>8308750</v>
      </c>
      <c r="AG30" s="1032">
        <f t="shared" si="217"/>
        <v>3000000</v>
      </c>
      <c r="AH30" s="1039">
        <f t="shared" ref="AH30:AK30" si="218">SUM(AH12:AH29)</f>
        <v>3000000</v>
      </c>
      <c r="AI30" s="478">
        <f t="shared" si="218"/>
        <v>3132127265.9000001</v>
      </c>
      <c r="AJ30" s="478">
        <f t="shared" si="218"/>
        <v>963475898.46000004</v>
      </c>
      <c r="AK30" s="478">
        <f t="shared" si="218"/>
        <v>64182433.969999999</v>
      </c>
      <c r="AL30" s="477">
        <f>SUM(AL12:AL29)</f>
        <v>0</v>
      </c>
      <c r="AM30" s="477">
        <f>SUM(AM12:AM29)</f>
        <v>55745986.689999998</v>
      </c>
      <c r="AN30" s="589">
        <f t="shared" ref="AN30" si="219">SUM(AN12:AN29)</f>
        <v>0</v>
      </c>
      <c r="AO30" s="477">
        <f>SUM(AO12:AO29)</f>
        <v>8436447.2800000012</v>
      </c>
      <c r="AP30" s="451">
        <f t="shared" ref="AP30" si="220">SUM(AP12:AP29)</f>
        <v>0</v>
      </c>
      <c r="AQ30" s="472">
        <f>SUM(AQ12:AQ29)</f>
        <v>0</v>
      </c>
      <c r="AR30" s="472">
        <f>SUM(AR12:AR29)</f>
        <v>0</v>
      </c>
      <c r="AS30" s="472">
        <f t="shared" ref="AS30" si="221">SUM(AS12:AS29)</f>
        <v>0</v>
      </c>
      <c r="AT30" s="472">
        <f>SUM(AT12:AT29)</f>
        <v>0</v>
      </c>
      <c r="AU30" s="451">
        <f t="shared" ref="AU30" si="222">SUM(AU12:AU29)</f>
        <v>63679506.950000003</v>
      </c>
      <c r="AV30" s="588">
        <f>SUM(AV12:AV29)</f>
        <v>63679506.950000003</v>
      </c>
      <c r="AW30" s="593">
        <f>SUM(AW12:AW29)</f>
        <v>0</v>
      </c>
      <c r="AX30" s="589">
        <f>SUM(AX12:AX29)</f>
        <v>0</v>
      </c>
      <c r="AY30" s="451">
        <f t="shared" ref="AY30" si="223">SUM(AY12:AY29)</f>
        <v>23548313.280000001</v>
      </c>
      <c r="AZ30" s="477">
        <f>SUM(AZ12:AZ29)</f>
        <v>23548313.280000001</v>
      </c>
      <c r="BA30" s="477">
        <f>SUM(BA12:BA29)</f>
        <v>0</v>
      </c>
      <c r="BB30" s="589">
        <f>SUM(BB12:BB29)</f>
        <v>0</v>
      </c>
      <c r="BC30" s="619">
        <f t="shared" ref="BC30" si="224">SUM(BC12:BC29)</f>
        <v>63679506.950000003</v>
      </c>
      <c r="BD30" s="624">
        <f>SUM(BD12:BD29)</f>
        <v>63679506.950000003</v>
      </c>
      <c r="BE30" s="588">
        <f>SUM(BE12:BE29)</f>
        <v>0</v>
      </c>
      <c r="BF30" s="477">
        <f>SUM(BF12:BF29)</f>
        <v>0</v>
      </c>
      <c r="BG30" s="619">
        <f t="shared" ref="BG30" si="225">SUM(BG12:BG29)</f>
        <v>23548313.280000001</v>
      </c>
      <c r="BH30" s="474">
        <f>SUM(BH12:BH29)</f>
        <v>23548313.280000001</v>
      </c>
      <c r="BI30" s="589">
        <f>SUM(BI12:BI29)</f>
        <v>0</v>
      </c>
      <c r="BJ30" s="477">
        <f>SUM(BJ12:BJ29)</f>
        <v>0</v>
      </c>
      <c r="BK30" s="619">
        <f t="shared" ref="BK30" si="226">SUM(BK12:BK29)</f>
        <v>0</v>
      </c>
      <c r="BL30" s="624">
        <f>SUM(BL12:BL29)</f>
        <v>0</v>
      </c>
      <c r="BM30" s="477">
        <f>SUM(BM12:BM29)</f>
        <v>0</v>
      </c>
      <c r="BN30" s="588">
        <f>SUM(BN12:BN29)</f>
        <v>0</v>
      </c>
      <c r="BO30" s="619">
        <f t="shared" ref="BO30" si="227">SUM(BO12:BO29)</f>
        <v>0</v>
      </c>
      <c r="BP30" s="589">
        <f>SUM(BP12:BP29)</f>
        <v>0</v>
      </c>
      <c r="BQ30" s="477">
        <f>SUM(BQ12:BQ29)</f>
        <v>0</v>
      </c>
      <c r="BR30" s="589">
        <f>SUM(BR12:BR29)</f>
        <v>0</v>
      </c>
      <c r="BS30" s="451">
        <f t="shared" ref="BS30:CI30" si="228">SUM(BS12:BS29)</f>
        <v>491532554.94999999</v>
      </c>
      <c r="BT30" s="621">
        <f t="shared" si="228"/>
        <v>90022153.950000003</v>
      </c>
      <c r="BU30" s="472">
        <f t="shared" si="228"/>
        <v>401510401</v>
      </c>
      <c r="BV30" s="472">
        <f>SUM(BV12:BV29)</f>
        <v>0</v>
      </c>
      <c r="BW30" s="451">
        <f t="shared" ref="BW30" si="229">SUM(BW12:BW29)</f>
        <v>37569610.940000005</v>
      </c>
      <c r="BX30" s="477">
        <f t="shared" si="228"/>
        <v>7854995.9299999997</v>
      </c>
      <c r="BY30" s="477">
        <f t="shared" si="228"/>
        <v>29714615.010000002</v>
      </c>
      <c r="BZ30" s="472">
        <f>SUM(BZ12:BZ29)</f>
        <v>0</v>
      </c>
      <c r="CA30" s="451">
        <f t="shared" ref="CA30" si="230">SUM(CA12:CA29)</f>
        <v>146598158.03</v>
      </c>
      <c r="CB30" s="588">
        <f t="shared" si="228"/>
        <v>59445206.030000001</v>
      </c>
      <c r="CC30" s="477">
        <f t="shared" si="228"/>
        <v>73152952</v>
      </c>
      <c r="CD30" s="472">
        <f>SUM(CD12:CD29)</f>
        <v>14000000</v>
      </c>
      <c r="CE30" s="451">
        <f t="shared" ref="CE30" si="231">SUM(CE12:CE29)</f>
        <v>25696811.099999998</v>
      </c>
      <c r="CF30" s="477">
        <f t="shared" si="228"/>
        <v>673915.95</v>
      </c>
      <c r="CG30" s="589">
        <f t="shared" si="228"/>
        <v>11022895.15</v>
      </c>
      <c r="CH30" s="472">
        <f>SUM(CH12:CH29)</f>
        <v>14000000</v>
      </c>
      <c r="CI30" s="592">
        <f t="shared" si="228"/>
        <v>0</v>
      </c>
      <c r="CJ30" s="590">
        <f t="shared" ref="CJ30:DS30" si="232">SUM(CJ12:CJ29)</f>
        <v>0</v>
      </c>
      <c r="CK30" s="615">
        <f t="shared" si="232"/>
        <v>146598158.03</v>
      </c>
      <c r="CL30" s="590">
        <f t="shared" si="232"/>
        <v>25696811.099999998</v>
      </c>
      <c r="CM30" s="346">
        <f t="shared" ref="CM30:CP30" si="233">SUM(CM12:CM29)</f>
        <v>0</v>
      </c>
      <c r="CN30" s="707">
        <f t="shared" si="233"/>
        <v>0</v>
      </c>
      <c r="CO30" s="346">
        <f t="shared" si="233"/>
        <v>0</v>
      </c>
      <c r="CP30" s="707">
        <f t="shared" si="233"/>
        <v>0</v>
      </c>
      <c r="CQ30" s="520">
        <f t="shared" si="232"/>
        <v>35043774.009999998</v>
      </c>
      <c r="CR30" s="346">
        <f t="shared" si="232"/>
        <v>11992573.129999999</v>
      </c>
      <c r="CS30" s="346">
        <f t="shared" si="232"/>
        <v>105147261.73999999</v>
      </c>
      <c r="CT30" s="520">
        <f t="shared" si="232"/>
        <v>47307135.049999997</v>
      </c>
      <c r="CU30" s="590">
        <f t="shared" si="232"/>
        <v>8576793.0999999978</v>
      </c>
      <c r="CV30" s="615">
        <f t="shared" si="232"/>
        <v>2573037.9299999997</v>
      </c>
      <c r="CW30" s="590">
        <f t="shared" si="232"/>
        <v>96570468.639999986</v>
      </c>
      <c r="CX30" s="615">
        <f t="shared" si="232"/>
        <v>44734097.120000005</v>
      </c>
      <c r="CY30" s="587">
        <f t="shared" si="232"/>
        <v>12856597.6</v>
      </c>
      <c r="CZ30" s="346">
        <f t="shared" si="232"/>
        <v>3934844.5900000003</v>
      </c>
      <c r="DA30" s="518">
        <f t="shared" si="232"/>
        <v>30886764.379999999</v>
      </c>
      <c r="DB30" s="520">
        <f t="shared" si="232"/>
        <v>10095658.6</v>
      </c>
      <c r="DC30" s="590">
        <f t="shared" si="232"/>
        <v>3199402.7700000005</v>
      </c>
      <c r="DD30" s="591">
        <f t="shared" si="232"/>
        <v>959820.83000000007</v>
      </c>
      <c r="DE30" s="634">
        <f t="shared" si="232"/>
        <v>27687361.609999999</v>
      </c>
      <c r="DF30" s="591">
        <f t="shared" si="232"/>
        <v>9135837.7699999996</v>
      </c>
      <c r="DG30" s="478">
        <f t="shared" ref="DG30:DL30" si="234">SUM(DG12:DG29)</f>
        <v>0</v>
      </c>
      <c r="DH30" s="472">
        <f t="shared" si="234"/>
        <v>0</v>
      </c>
      <c r="DI30" s="817">
        <f t="shared" si="234"/>
        <v>0</v>
      </c>
      <c r="DJ30" s="451">
        <f t="shared" si="234"/>
        <v>0</v>
      </c>
      <c r="DK30" s="631">
        <f t="shared" si="234"/>
        <v>0</v>
      </c>
      <c r="DL30" s="707">
        <f t="shared" si="234"/>
        <v>0</v>
      </c>
      <c r="DM30" s="346">
        <f t="shared" si="232"/>
        <v>8989221.4399999995</v>
      </c>
      <c r="DN30" s="595">
        <f t="shared" si="232"/>
        <v>2582444.44</v>
      </c>
      <c r="DO30" s="588">
        <f t="shared" si="232"/>
        <v>1036000</v>
      </c>
      <c r="DP30" s="710">
        <f t="shared" si="232"/>
        <v>2664000</v>
      </c>
      <c r="DQ30" s="477">
        <f t="shared" si="232"/>
        <v>141400</v>
      </c>
      <c r="DR30" s="802">
        <f t="shared" si="232"/>
        <v>363600</v>
      </c>
      <c r="DS30" s="593">
        <f t="shared" si="232"/>
        <v>1000000</v>
      </c>
      <c r="DT30" s="594">
        <f t="shared" ref="DT30:EB30" si="235">SUM(DT12:DT29)</f>
        <v>1201777</v>
      </c>
      <c r="DU30" s="346">
        <f t="shared" si="235"/>
        <v>1999671.94</v>
      </c>
      <c r="DV30" s="682">
        <f t="shared" si="235"/>
        <v>420000</v>
      </c>
      <c r="DW30" s="477">
        <f t="shared" si="235"/>
        <v>0</v>
      </c>
      <c r="DX30" s="710">
        <f t="shared" si="235"/>
        <v>0</v>
      </c>
      <c r="DY30" s="477">
        <f t="shared" si="235"/>
        <v>0</v>
      </c>
      <c r="DZ30" s="710">
        <f t="shared" si="235"/>
        <v>0</v>
      </c>
      <c r="EA30" s="682">
        <f t="shared" si="235"/>
        <v>377894.94</v>
      </c>
      <c r="EB30" s="595">
        <f t="shared" si="235"/>
        <v>1201777</v>
      </c>
      <c r="EC30" s="478">
        <f t="shared" ref="EC30:EH30" si="236">SUM(EC12:EC29)</f>
        <v>6619444.4499999993</v>
      </c>
      <c r="ED30" s="472">
        <f t="shared" si="236"/>
        <v>1853444.45</v>
      </c>
      <c r="EE30" s="817">
        <f t="shared" si="236"/>
        <v>4766000</v>
      </c>
      <c r="EF30" s="451">
        <f t="shared" si="236"/>
        <v>0</v>
      </c>
      <c r="EG30" s="631">
        <f t="shared" si="236"/>
        <v>0</v>
      </c>
      <c r="EH30" s="707">
        <f t="shared" si="236"/>
        <v>0</v>
      </c>
      <c r="EI30" s="587">
        <f t="shared" ref="EI30:FD30" si="237">SUM(EI12:EI29)</f>
        <v>53183487.36999999</v>
      </c>
      <c r="EJ30" s="588">
        <f t="shared" si="237"/>
        <v>481629.47</v>
      </c>
      <c r="EK30" s="710">
        <f t="shared" si="237"/>
        <v>11438700</v>
      </c>
      <c r="EL30" s="589">
        <f t="shared" si="237"/>
        <v>1263157.8999999999</v>
      </c>
      <c r="EM30" s="710">
        <f t="shared" si="237"/>
        <v>40000000</v>
      </c>
      <c r="EN30" s="346">
        <f t="shared" si="237"/>
        <v>5909707.0099999998</v>
      </c>
      <c r="EO30" s="588">
        <f t="shared" si="237"/>
        <v>238776.04000000004</v>
      </c>
      <c r="EP30" s="710">
        <f t="shared" si="237"/>
        <v>5670930.9699999997</v>
      </c>
      <c r="EQ30" s="588">
        <f t="shared" si="237"/>
        <v>0</v>
      </c>
      <c r="ER30" s="710">
        <f t="shared" si="237"/>
        <v>0</v>
      </c>
      <c r="ES30" s="478">
        <f t="shared" ref="ES30:EV30" si="238">SUM(ES12:ES29)</f>
        <v>0</v>
      </c>
      <c r="ET30" s="472">
        <f t="shared" ref="ET30" si="239">SUM(ET12:ET29)</f>
        <v>0</v>
      </c>
      <c r="EU30" s="707">
        <f t="shared" ref="EU30" si="240">SUM(EU12:EU29)</f>
        <v>0</v>
      </c>
      <c r="EV30" s="451">
        <f t="shared" si="238"/>
        <v>0</v>
      </c>
      <c r="EW30" s="631">
        <f t="shared" ref="EW30" si="241">SUM(EW12:EW29)</f>
        <v>0</v>
      </c>
      <c r="EX30" s="707">
        <f t="shared" ref="EX30" si="242">SUM(EX12:EX29)</f>
        <v>0</v>
      </c>
      <c r="EY30" s="478">
        <f t="shared" si="237"/>
        <v>148784526</v>
      </c>
      <c r="EZ30" s="472">
        <f t="shared" si="237"/>
        <v>7439226</v>
      </c>
      <c r="FA30" s="817">
        <f t="shared" si="237"/>
        <v>141345300</v>
      </c>
      <c r="FB30" s="451">
        <f t="shared" si="237"/>
        <v>16318581.83</v>
      </c>
      <c r="FC30" s="631">
        <f t="shared" si="237"/>
        <v>815929.06</v>
      </c>
      <c r="FD30" s="707">
        <f t="shared" si="237"/>
        <v>15502652.77</v>
      </c>
      <c r="FE30" s="478">
        <f t="shared" ref="FE30:FJ30" si="243">SUM(FE12:FE29)</f>
        <v>0</v>
      </c>
      <c r="FF30" s="472">
        <f t="shared" si="243"/>
        <v>0</v>
      </c>
      <c r="FG30" s="817">
        <f t="shared" si="243"/>
        <v>0</v>
      </c>
      <c r="FH30" s="451">
        <f t="shared" si="243"/>
        <v>0</v>
      </c>
      <c r="FI30" s="631">
        <f t="shared" si="243"/>
        <v>0</v>
      </c>
      <c r="FJ30" s="707">
        <f t="shared" si="243"/>
        <v>0</v>
      </c>
      <c r="FK30" s="478">
        <f t="shared" ref="FK30:HV30" si="244">SUM(FK12:FK29)</f>
        <v>0</v>
      </c>
      <c r="FL30" s="472">
        <f t="shared" si="244"/>
        <v>0</v>
      </c>
      <c r="FM30" s="817">
        <f t="shared" si="244"/>
        <v>0</v>
      </c>
      <c r="FN30" s="451">
        <f t="shared" si="244"/>
        <v>0</v>
      </c>
      <c r="FO30" s="631">
        <f t="shared" si="244"/>
        <v>0</v>
      </c>
      <c r="FP30" s="707">
        <f t="shared" si="244"/>
        <v>0</v>
      </c>
      <c r="FQ30" s="478">
        <f t="shared" ref="FQ30:FV30" si="245">SUM(FQ12:FQ29)</f>
        <v>6108050</v>
      </c>
      <c r="FR30" s="472">
        <f t="shared" si="245"/>
        <v>6108050</v>
      </c>
      <c r="FS30" s="817">
        <f t="shared" si="245"/>
        <v>0</v>
      </c>
      <c r="FT30" s="451">
        <f t="shared" si="245"/>
        <v>0</v>
      </c>
      <c r="FU30" s="631">
        <f t="shared" si="245"/>
        <v>0</v>
      </c>
      <c r="FV30" s="707">
        <f t="shared" si="245"/>
        <v>0</v>
      </c>
      <c r="FW30" s="692">
        <f t="shared" ref="FW30:FX30" si="246">SUM(FW12:FW29)</f>
        <v>0</v>
      </c>
      <c r="FX30" s="619">
        <f t="shared" si="246"/>
        <v>0</v>
      </c>
      <c r="FY30" s="692">
        <f t="shared" ref="FY30:GF30" si="247">SUM(FY12:FY29)</f>
        <v>6108050</v>
      </c>
      <c r="FZ30" s="619">
        <f t="shared" si="247"/>
        <v>0</v>
      </c>
      <c r="GA30" s="478">
        <f t="shared" si="247"/>
        <v>23112222.219999999</v>
      </c>
      <c r="GB30" s="472">
        <f t="shared" si="247"/>
        <v>6471422.2199999997</v>
      </c>
      <c r="GC30" s="818">
        <f t="shared" si="247"/>
        <v>16640800</v>
      </c>
      <c r="GD30" s="478">
        <f t="shared" ref="GD30" si="248">SUM(GD12:GD29)</f>
        <v>0</v>
      </c>
      <c r="GE30" s="472">
        <f t="shared" si="247"/>
        <v>0</v>
      </c>
      <c r="GF30" s="818">
        <f t="shared" si="247"/>
        <v>0</v>
      </c>
      <c r="GG30" s="478">
        <f t="shared" si="244"/>
        <v>0</v>
      </c>
      <c r="GH30" s="472">
        <f t="shared" si="244"/>
        <v>0</v>
      </c>
      <c r="GI30" s="818">
        <f t="shared" si="244"/>
        <v>0</v>
      </c>
      <c r="GJ30" s="472">
        <f t="shared" si="244"/>
        <v>0</v>
      </c>
      <c r="GK30" s="817">
        <f t="shared" si="244"/>
        <v>0</v>
      </c>
      <c r="GL30" s="451">
        <f t="shared" si="244"/>
        <v>0</v>
      </c>
      <c r="GM30" s="472">
        <f t="shared" si="244"/>
        <v>0</v>
      </c>
      <c r="GN30" s="818">
        <f t="shared" si="244"/>
        <v>0</v>
      </c>
      <c r="GO30" s="472">
        <f t="shared" si="244"/>
        <v>0</v>
      </c>
      <c r="GP30" s="818">
        <f t="shared" si="244"/>
        <v>0</v>
      </c>
      <c r="GQ30" s="451">
        <f t="shared" ref="GQ30" si="249">SUM(GQ12:GQ29)</f>
        <v>17370439.550000004</v>
      </c>
      <c r="GR30" s="472">
        <f t="shared" si="244"/>
        <v>3123025.4</v>
      </c>
      <c r="GS30" s="818">
        <f t="shared" si="244"/>
        <v>0</v>
      </c>
      <c r="GT30" s="472">
        <f t="shared" si="244"/>
        <v>8362081.4000000004</v>
      </c>
      <c r="GU30" s="817">
        <f t="shared" si="244"/>
        <v>5885332.7499999991</v>
      </c>
      <c r="GV30" s="451">
        <f t="shared" si="244"/>
        <v>2964331.1799999997</v>
      </c>
      <c r="GW30" s="472">
        <f t="shared" si="244"/>
        <v>0</v>
      </c>
      <c r="GX30" s="818">
        <f t="shared" si="244"/>
        <v>0</v>
      </c>
      <c r="GY30" s="472">
        <f t="shared" si="244"/>
        <v>1739822.98</v>
      </c>
      <c r="GZ30" s="818">
        <f t="shared" si="244"/>
        <v>1224508.2</v>
      </c>
      <c r="HA30" s="692">
        <f t="shared" si="244"/>
        <v>16088801.060000001</v>
      </c>
      <c r="HB30" s="472">
        <f t="shared" ref="HB30:HC30" si="250">SUM(HB12:HB29)</f>
        <v>2838738.15</v>
      </c>
      <c r="HC30" s="817">
        <f t="shared" si="250"/>
        <v>0</v>
      </c>
      <c r="HD30" s="472">
        <f t="shared" si="244"/>
        <v>7776716.7699999996</v>
      </c>
      <c r="HE30" s="817">
        <f t="shared" si="244"/>
        <v>5473346.1399999997</v>
      </c>
      <c r="HF30" s="692">
        <f t="shared" ref="HF30:HH30" si="251">SUM(HF12:HF29)</f>
        <v>2516738.7699999996</v>
      </c>
      <c r="HG30" s="472">
        <f t="shared" si="251"/>
        <v>0</v>
      </c>
      <c r="HH30" s="817">
        <f t="shared" si="251"/>
        <v>0</v>
      </c>
      <c r="HI30" s="472">
        <f t="shared" si="244"/>
        <v>1477122.3900000001</v>
      </c>
      <c r="HJ30" s="818">
        <f t="shared" si="244"/>
        <v>1039616.3799999999</v>
      </c>
      <c r="HK30" s="692">
        <f t="shared" ref="HK30" si="252">SUM(HK12:HK29)</f>
        <v>1281638.49</v>
      </c>
      <c r="HL30" s="472">
        <f t="shared" si="244"/>
        <v>284287.25</v>
      </c>
      <c r="HM30" s="818">
        <f t="shared" si="244"/>
        <v>0</v>
      </c>
      <c r="HN30" s="472">
        <f t="shared" si="244"/>
        <v>585364.63</v>
      </c>
      <c r="HO30" s="817">
        <f t="shared" si="244"/>
        <v>411986.61</v>
      </c>
      <c r="HP30" s="692">
        <f t="shared" ref="HP30" si="253">SUM(HP12:HP29)</f>
        <v>447592.41</v>
      </c>
      <c r="HQ30" s="472">
        <f t="shared" ref="HQ30:HR30" si="254">SUM(HQ12:HQ29)</f>
        <v>0</v>
      </c>
      <c r="HR30" s="818">
        <f t="shared" si="254"/>
        <v>0</v>
      </c>
      <c r="HS30" s="472">
        <f t="shared" si="244"/>
        <v>262700.58999999997</v>
      </c>
      <c r="HT30" s="818">
        <f t="shared" si="244"/>
        <v>184891.82</v>
      </c>
      <c r="HU30" s="587">
        <f t="shared" si="244"/>
        <v>0</v>
      </c>
      <c r="HV30" s="593">
        <f t="shared" si="244"/>
        <v>0</v>
      </c>
      <c r="HW30" s="710">
        <f t="shared" ref="HW30:IB30" si="255">SUM(HW12:HW29)</f>
        <v>0</v>
      </c>
      <c r="HX30" s="346">
        <f t="shared" si="255"/>
        <v>0</v>
      </c>
      <c r="HY30" s="593">
        <f t="shared" si="255"/>
        <v>0</v>
      </c>
      <c r="HZ30" s="741">
        <f t="shared" si="255"/>
        <v>0</v>
      </c>
      <c r="IA30" s="587">
        <f t="shared" si="255"/>
        <v>10000000</v>
      </c>
      <c r="IB30" s="595">
        <f t="shared" si="255"/>
        <v>2800007.29</v>
      </c>
      <c r="IC30" s="710">
        <f t="shared" ref="IC30:IF30" si="256">SUM(IC12:IC29)</f>
        <v>7199992.71</v>
      </c>
      <c r="ID30" s="346">
        <f t="shared" si="256"/>
        <v>0</v>
      </c>
      <c r="IE30" s="593">
        <f t="shared" si="256"/>
        <v>0</v>
      </c>
      <c r="IF30" s="741">
        <f t="shared" si="256"/>
        <v>0</v>
      </c>
      <c r="IG30" s="587">
        <f t="shared" ref="IG30:IL30" si="257">SUM(IG12:IG29)</f>
        <v>0</v>
      </c>
      <c r="IH30" s="685">
        <f t="shared" si="257"/>
        <v>0</v>
      </c>
      <c r="II30" s="707">
        <f t="shared" si="257"/>
        <v>0</v>
      </c>
      <c r="IJ30" s="346">
        <f t="shared" si="257"/>
        <v>0</v>
      </c>
      <c r="IK30" s="593">
        <f t="shared" si="257"/>
        <v>0</v>
      </c>
      <c r="IL30" s="741">
        <f t="shared" si="257"/>
        <v>0</v>
      </c>
      <c r="IM30" s="633">
        <f t="shared" ref="IM30:JQ30" si="258">SUM(IM12:IM29)</f>
        <v>11145520.630000001</v>
      </c>
      <c r="IN30" s="685">
        <f t="shared" si="258"/>
        <v>3120761.0700000003</v>
      </c>
      <c r="IO30" s="707">
        <f t="shared" si="258"/>
        <v>8024759.5600000005</v>
      </c>
      <c r="IP30" s="451">
        <f t="shared" si="258"/>
        <v>5722427.4299999997</v>
      </c>
      <c r="IQ30" s="811">
        <f t="shared" si="258"/>
        <v>1602287.56</v>
      </c>
      <c r="IR30" s="707">
        <f t="shared" si="258"/>
        <v>4120139.87</v>
      </c>
      <c r="IS30" s="451">
        <f t="shared" si="258"/>
        <v>15033279.370000003</v>
      </c>
      <c r="IT30" s="685">
        <f t="shared" si="258"/>
        <v>4209338.9400000004</v>
      </c>
      <c r="IU30" s="707">
        <f t="shared" si="258"/>
        <v>10823940.430000002</v>
      </c>
      <c r="IV30" s="451">
        <f t="shared" si="258"/>
        <v>12788765.390000001</v>
      </c>
      <c r="IW30" s="685">
        <f t="shared" si="258"/>
        <v>3580871.9000000004</v>
      </c>
      <c r="IX30" s="818">
        <f t="shared" si="258"/>
        <v>9207893.4900000021</v>
      </c>
      <c r="IY30" s="619">
        <f t="shared" si="258"/>
        <v>10880027.660000002</v>
      </c>
      <c r="IZ30" s="923">
        <f t="shared" si="258"/>
        <v>3046422.7500000009</v>
      </c>
      <c r="JA30" s="707">
        <f t="shared" si="258"/>
        <v>7833604.9099999992</v>
      </c>
      <c r="JB30" s="693">
        <f t="shared" si="258"/>
        <v>9531874.1100000013</v>
      </c>
      <c r="JC30" s="685">
        <f t="shared" si="258"/>
        <v>2668937.86</v>
      </c>
      <c r="JD30" s="817">
        <f t="shared" si="258"/>
        <v>6862936.25</v>
      </c>
      <c r="JE30" s="619">
        <f t="shared" si="258"/>
        <v>4153251.71</v>
      </c>
      <c r="JF30" s="923">
        <f t="shared" si="258"/>
        <v>1162916.19</v>
      </c>
      <c r="JG30" s="707">
        <f t="shared" si="258"/>
        <v>2990335.52</v>
      </c>
      <c r="JH30" s="619">
        <f t="shared" si="258"/>
        <v>3256891.2800000003</v>
      </c>
      <c r="JI30" s="811">
        <f t="shared" si="258"/>
        <v>911934.04</v>
      </c>
      <c r="JJ30" s="707">
        <f t="shared" si="258"/>
        <v>2344957.2400000002</v>
      </c>
      <c r="JK30" s="451">
        <f t="shared" si="258"/>
        <v>93825120</v>
      </c>
      <c r="JL30" s="472">
        <f>SUM(JL12:JL29)</f>
        <v>69613420</v>
      </c>
      <c r="JM30" s="707">
        <f>SUM(JM12:JM29)</f>
        <v>24211700</v>
      </c>
      <c r="JN30" s="451">
        <f t="shared" ref="JN30" si="259">SUM(JN12:JN29)</f>
        <v>38738988.590000004</v>
      </c>
      <c r="JO30" s="472">
        <f>SUM(JO12:JO29)</f>
        <v>28742339.82</v>
      </c>
      <c r="JP30" s="707">
        <f>SUM(JP12:JP29)</f>
        <v>9996648.7699999996</v>
      </c>
      <c r="JQ30" s="635">
        <f t="shared" si="258"/>
        <v>418244.80000000005</v>
      </c>
      <c r="JR30" s="472">
        <f>SUM(JR12:JR29)</f>
        <v>0</v>
      </c>
      <c r="JS30" s="707">
        <f>SUM(JS12:JS29)</f>
        <v>0</v>
      </c>
      <c r="JT30" s="685">
        <f t="shared" ref="JT30:KE30" si="260">SUM(JT12:JT29)</f>
        <v>195624.32000000001</v>
      </c>
      <c r="JU30" s="817">
        <f t="shared" si="260"/>
        <v>222620.48</v>
      </c>
      <c r="JV30" s="451">
        <f t="shared" si="260"/>
        <v>0</v>
      </c>
      <c r="JW30" s="472">
        <f>SUM(JW12:JW29)</f>
        <v>0</v>
      </c>
      <c r="JX30" s="707">
        <f>SUM(JX12:JX29)</f>
        <v>0</v>
      </c>
      <c r="JY30" s="472">
        <f t="shared" si="260"/>
        <v>0</v>
      </c>
      <c r="JZ30" s="817">
        <f t="shared" si="260"/>
        <v>0</v>
      </c>
      <c r="KA30" s="451">
        <f t="shared" si="260"/>
        <v>63009355.200000003</v>
      </c>
      <c r="KB30" s="472">
        <f>SUM(KB12:KB29)</f>
        <v>17640000</v>
      </c>
      <c r="KC30" s="707">
        <f>SUM(KC12:KC29)</f>
        <v>45360000</v>
      </c>
      <c r="KD30" s="685">
        <f t="shared" si="260"/>
        <v>4375.68</v>
      </c>
      <c r="KE30" s="817">
        <f t="shared" si="260"/>
        <v>4979.5200000000004</v>
      </c>
      <c r="KF30" s="451">
        <f t="shared" ref="KF30:KU30" si="261">SUM(KF12:KF29)</f>
        <v>4958184.66</v>
      </c>
      <c r="KG30" s="472">
        <f t="shared" ref="KG30:KH30" si="262">SUM(KG12:KG29)</f>
        <v>1388291.71</v>
      </c>
      <c r="KH30" s="707">
        <f t="shared" si="262"/>
        <v>3569892.9499999997</v>
      </c>
      <c r="KI30" s="631">
        <f t="shared" si="261"/>
        <v>0</v>
      </c>
      <c r="KJ30" s="707">
        <f t="shared" si="261"/>
        <v>0</v>
      </c>
      <c r="KK30" s="619">
        <f t="shared" si="261"/>
        <v>63009355.200000003</v>
      </c>
      <c r="KL30" s="685">
        <f t="shared" ref="KL30:KM30" si="263">SUM(KL12:KL29)</f>
        <v>17640000</v>
      </c>
      <c r="KM30" s="707">
        <f t="shared" si="263"/>
        <v>45360000</v>
      </c>
      <c r="KN30" s="923">
        <f t="shared" si="261"/>
        <v>4375.68</v>
      </c>
      <c r="KO30" s="707">
        <f t="shared" si="261"/>
        <v>4979.5200000000004</v>
      </c>
      <c r="KP30" s="619">
        <f t="shared" si="261"/>
        <v>4958184.66</v>
      </c>
      <c r="KQ30" s="472">
        <f>SUM(KQ12:KQ29)</f>
        <v>1388291.71</v>
      </c>
      <c r="KR30" s="707">
        <f>SUM(KR12:KR29)</f>
        <v>3569892.9499999997</v>
      </c>
      <c r="KS30" s="685">
        <f t="shared" si="261"/>
        <v>0</v>
      </c>
      <c r="KT30" s="817">
        <f t="shared" si="261"/>
        <v>0</v>
      </c>
      <c r="KU30" s="619">
        <f t="shared" si="261"/>
        <v>0</v>
      </c>
      <c r="KV30" s="472">
        <f>SUM(KV12:KV29)</f>
        <v>0</v>
      </c>
      <c r="KW30" s="707">
        <f>SUM(KW12:KW29)</f>
        <v>0</v>
      </c>
      <c r="KX30" s="685">
        <f t="shared" ref="KX30:LD30" si="264">SUM(KX12:KX29)</f>
        <v>0</v>
      </c>
      <c r="KY30" s="817">
        <f t="shared" si="264"/>
        <v>0</v>
      </c>
      <c r="KZ30" s="619">
        <f t="shared" si="264"/>
        <v>0</v>
      </c>
      <c r="LA30" s="472">
        <f>SUM(LA12:LA29)</f>
        <v>0</v>
      </c>
      <c r="LB30" s="707">
        <f>SUM(LB12:LB29)</f>
        <v>0</v>
      </c>
      <c r="LC30" s="685">
        <f t="shared" si="264"/>
        <v>0</v>
      </c>
      <c r="LD30" s="817">
        <f t="shared" si="264"/>
        <v>0</v>
      </c>
      <c r="LE30" s="478">
        <f t="shared" ref="LE30:MM30" si="265">SUM(LE12:LE29)</f>
        <v>362969400</v>
      </c>
      <c r="LF30" s="472">
        <f>SUM(LF12:LF29)</f>
        <v>101631400</v>
      </c>
      <c r="LG30" s="818">
        <f t="shared" si="265"/>
        <v>261338000</v>
      </c>
      <c r="LH30" s="472">
        <f>SUM(LH12:LH29)</f>
        <v>0</v>
      </c>
      <c r="LI30" s="818">
        <f t="shared" ref="LI30" si="266">SUM(LI12:LI29)</f>
        <v>0</v>
      </c>
      <c r="LJ30" s="621">
        <f>SUM(LJ12:LJ29)</f>
        <v>0</v>
      </c>
      <c r="LK30" s="451">
        <f t="shared" ref="LK30" si="267">SUM(LK12:LK29)</f>
        <v>362969400</v>
      </c>
      <c r="LL30" s="472">
        <f t="shared" si="265"/>
        <v>101631400</v>
      </c>
      <c r="LM30" s="707">
        <f t="shared" si="265"/>
        <v>261338000</v>
      </c>
      <c r="LN30" s="472">
        <f t="shared" ref="LN30:LO30" si="268">SUM(LN12:LN29)</f>
        <v>0</v>
      </c>
      <c r="LO30" s="707">
        <f t="shared" si="268"/>
        <v>0</v>
      </c>
      <c r="LP30" s="472">
        <f t="shared" ref="LP30" si="269">SUM(LP12:LP29)</f>
        <v>0</v>
      </c>
      <c r="LQ30" s="478">
        <f t="shared" si="265"/>
        <v>0</v>
      </c>
      <c r="LR30" s="477">
        <f>SUM(LR12:LR29)</f>
        <v>0</v>
      </c>
      <c r="LS30" s="621">
        <f t="shared" ref="LS30" si="270">SUM(LS12:LS29)</f>
        <v>0</v>
      </c>
      <c r="LT30" s="477">
        <f t="shared" si="265"/>
        <v>0</v>
      </c>
      <c r="LU30" s="710">
        <f t="shared" si="265"/>
        <v>0</v>
      </c>
      <c r="LV30" s="451">
        <f t="shared" si="265"/>
        <v>0</v>
      </c>
      <c r="LW30" s="472">
        <f>SUM(LW12:LW29)</f>
        <v>0</v>
      </c>
      <c r="LX30" s="811"/>
      <c r="LY30" s="621">
        <f t="shared" si="265"/>
        <v>0</v>
      </c>
      <c r="LZ30" s="707">
        <f t="shared" si="265"/>
        <v>0</v>
      </c>
      <c r="MA30" s="451">
        <f t="shared" si="265"/>
        <v>5050157.8899999997</v>
      </c>
      <c r="MB30" s="472">
        <f t="shared" si="265"/>
        <v>5050157.8899999997</v>
      </c>
      <c r="MC30" s="472">
        <f t="shared" si="265"/>
        <v>0</v>
      </c>
      <c r="MD30" s="707">
        <f t="shared" si="265"/>
        <v>0</v>
      </c>
      <c r="ME30" s="451">
        <f t="shared" si="265"/>
        <v>5050157.8899999997</v>
      </c>
      <c r="MF30" s="685">
        <f t="shared" si="265"/>
        <v>5050157.8899999997</v>
      </c>
      <c r="MG30" s="685">
        <f t="shared" si="265"/>
        <v>0</v>
      </c>
      <c r="MH30" s="707">
        <f t="shared" si="265"/>
        <v>0</v>
      </c>
      <c r="MI30" s="619">
        <f t="shared" si="265"/>
        <v>0</v>
      </c>
      <c r="MJ30" s="619">
        <f t="shared" si="265"/>
        <v>0</v>
      </c>
      <c r="MK30" s="692">
        <f t="shared" si="265"/>
        <v>5050157.8899999997</v>
      </c>
      <c r="ML30" s="619">
        <f t="shared" si="265"/>
        <v>5050157.8899999997</v>
      </c>
      <c r="MM30" s="924">
        <f t="shared" si="265"/>
        <v>0</v>
      </c>
      <c r="MN30" s="923">
        <f t="shared" ref="MN30:NC30" si="271">SUM(MN12:MN29)</f>
        <v>0</v>
      </c>
      <c r="MO30" s="707">
        <f t="shared" si="271"/>
        <v>0</v>
      </c>
      <c r="MP30" s="685">
        <f t="shared" si="271"/>
        <v>0</v>
      </c>
      <c r="MQ30" s="924">
        <f t="shared" si="271"/>
        <v>0</v>
      </c>
      <c r="MR30" s="923">
        <f t="shared" si="271"/>
        <v>0</v>
      </c>
      <c r="MS30" s="707">
        <f t="shared" si="271"/>
        <v>0</v>
      </c>
      <c r="MT30" s="685">
        <f t="shared" si="271"/>
        <v>0</v>
      </c>
      <c r="MU30" s="924">
        <f t="shared" ref="MU30" si="272">SUM(MU12:MU29)</f>
        <v>253210847</v>
      </c>
      <c r="MV30" s="685">
        <f t="shared" si="271"/>
        <v>5220000</v>
      </c>
      <c r="MW30" s="818">
        <f t="shared" si="271"/>
        <v>99180000</v>
      </c>
      <c r="MX30" s="685">
        <f t="shared" si="271"/>
        <v>148810847</v>
      </c>
      <c r="MY30" s="924">
        <f t="shared" ref="MY30" si="273">SUM(MY12:MY29)</f>
        <v>176806505.78999999</v>
      </c>
      <c r="MZ30" s="685">
        <f t="shared" si="271"/>
        <v>1704851.08</v>
      </c>
      <c r="NA30" s="817">
        <f t="shared" si="271"/>
        <v>32392170.810000002</v>
      </c>
      <c r="NB30" s="685">
        <f t="shared" si="271"/>
        <v>142709483.90000001</v>
      </c>
      <c r="NC30" s="614">
        <f t="shared" si="271"/>
        <v>139210847</v>
      </c>
      <c r="ND30" s="923">
        <f t="shared" ref="ND30:NQ30" si="274">SUM(ND12:ND29)</f>
        <v>0</v>
      </c>
      <c r="NE30" s="707">
        <f t="shared" si="274"/>
        <v>0</v>
      </c>
      <c r="NF30" s="685">
        <f t="shared" ref="NF30" si="275">SUM(NF12:NF29)</f>
        <v>139210847</v>
      </c>
      <c r="NG30" s="614">
        <f t="shared" ref="NG30" si="276">SUM(NG12:NG29)</f>
        <v>133109483.90000002</v>
      </c>
      <c r="NH30" s="923">
        <f t="shared" si="274"/>
        <v>0</v>
      </c>
      <c r="NI30" s="707">
        <f t="shared" si="274"/>
        <v>0</v>
      </c>
      <c r="NJ30" s="685">
        <f t="shared" ref="NJ30" si="277">SUM(NJ12:NJ29)</f>
        <v>133109483.90000002</v>
      </c>
      <c r="NK30" s="614">
        <f t="shared" ref="NK30" si="278">SUM(NK12:NK29)</f>
        <v>114000000</v>
      </c>
      <c r="NL30" s="685">
        <f t="shared" si="274"/>
        <v>5220000</v>
      </c>
      <c r="NM30" s="817">
        <f t="shared" si="274"/>
        <v>99180000</v>
      </c>
      <c r="NN30" s="685">
        <f t="shared" si="274"/>
        <v>9600000</v>
      </c>
      <c r="NO30" s="614">
        <f t="shared" si="274"/>
        <v>43697021.890000001</v>
      </c>
      <c r="NP30" s="923">
        <f t="shared" si="274"/>
        <v>1704851.08</v>
      </c>
      <c r="NQ30" s="707">
        <f t="shared" si="274"/>
        <v>32392170.810000002</v>
      </c>
      <c r="NR30" s="685">
        <f t="shared" ref="NR30" si="279">SUM(NR12:NR29)</f>
        <v>9600000</v>
      </c>
      <c r="NS30" s="346">
        <f t="shared" ref="NS30" si="280">SUM(NS12:NS29)</f>
        <v>393161527.78000003</v>
      </c>
      <c r="NT30" s="588">
        <f t="shared" ref="NT30:NV30" si="281">SUM(NT12:NT29)</f>
        <v>110085227.78</v>
      </c>
      <c r="NU30" s="710">
        <f t="shared" si="281"/>
        <v>283076300</v>
      </c>
      <c r="NV30" s="346">
        <f t="shared" si="281"/>
        <v>17248383.600000001</v>
      </c>
      <c r="NW30" s="472">
        <f>SUM(NW12:NW29)</f>
        <v>4829547.42</v>
      </c>
      <c r="NX30" s="818">
        <f>SUM(NX12:NX29)</f>
        <v>12418836.18</v>
      </c>
      <c r="NY30" s="346">
        <f t="shared" ref="NY30" si="282">SUM(NY12:NY29)</f>
        <v>143940277.77000001</v>
      </c>
      <c r="NZ30" s="588">
        <f>SUM(NZ12:NZ29)</f>
        <v>7794033.3300000001</v>
      </c>
      <c r="OA30" s="710">
        <f>SUM(OA12:OA29)</f>
        <v>20041800</v>
      </c>
      <c r="OB30" s="477">
        <f t="shared" ref="OB30:OJ30" si="283">SUM(OB12:OB29)</f>
        <v>32509244.440000001</v>
      </c>
      <c r="OC30" s="741">
        <f t="shared" si="283"/>
        <v>83595200</v>
      </c>
      <c r="OD30" s="589">
        <f>SUM(OD12:OD29)</f>
        <v>0</v>
      </c>
      <c r="OE30" s="710">
        <f>SUM(OE12:OE29)</f>
        <v>0</v>
      </c>
      <c r="OF30" s="346">
        <f t="shared" ref="OF30" si="284">SUM(OF12:OF29)</f>
        <v>7270928.0100000007</v>
      </c>
      <c r="OG30" s="472">
        <f>SUM(OG12:OG29)</f>
        <v>0</v>
      </c>
      <c r="OH30" s="818">
        <f>SUM(OH12:OH29)</f>
        <v>0</v>
      </c>
      <c r="OI30" s="472">
        <f t="shared" si="283"/>
        <v>2035859.8499999999</v>
      </c>
      <c r="OJ30" s="818">
        <f t="shared" si="283"/>
        <v>5235068.1599999992</v>
      </c>
      <c r="OK30" s="472">
        <f>SUM(OK12:OK29)</f>
        <v>0</v>
      </c>
      <c r="OL30" s="818">
        <f>SUM(OL12:OL29)</f>
        <v>0</v>
      </c>
      <c r="OM30" s="618">
        <f t="shared" ref="OM30" si="285">SUM(OM12:OM29)</f>
        <v>143940277.77000001</v>
      </c>
      <c r="ON30" s="588">
        <f>SUM(ON12:ON29)</f>
        <v>7794033.3300000001</v>
      </c>
      <c r="OO30" s="710">
        <f>SUM(OO12:OO29)</f>
        <v>20041800</v>
      </c>
      <c r="OP30" s="477">
        <f t="shared" ref="OP30:OX30" si="286">SUM(OP12:OP29)</f>
        <v>32509244.440000001</v>
      </c>
      <c r="OQ30" s="818">
        <f t="shared" si="286"/>
        <v>83595200</v>
      </c>
      <c r="OR30" s="589">
        <f>SUM(OR12:OR29)</f>
        <v>0</v>
      </c>
      <c r="OS30" s="710">
        <f>SUM(OS12:OS29)</f>
        <v>0</v>
      </c>
      <c r="OT30" s="618">
        <f t="shared" ref="OT30" si="287">SUM(OT12:OT29)</f>
        <v>7270928.0100000007</v>
      </c>
      <c r="OU30" s="588">
        <f>SUM(OU12:OU29)</f>
        <v>0</v>
      </c>
      <c r="OV30" s="710">
        <f>SUM(OV12:OV29)</f>
        <v>0</v>
      </c>
      <c r="OW30" s="472">
        <f t="shared" si="286"/>
        <v>2035859.8499999999</v>
      </c>
      <c r="OX30" s="818">
        <f t="shared" si="286"/>
        <v>5235068.1599999992</v>
      </c>
      <c r="OY30" s="589">
        <f>SUM(OY12:OY29)</f>
        <v>0</v>
      </c>
      <c r="OZ30" s="710">
        <f>SUM(OZ12:OZ29)</f>
        <v>0</v>
      </c>
      <c r="PA30" s="618">
        <f t="shared" ref="PA30" si="288">SUM(PA12:PA29)</f>
        <v>0</v>
      </c>
      <c r="PB30" s="588">
        <f>SUM(PB12:PB29)</f>
        <v>0</v>
      </c>
      <c r="PC30" s="710">
        <f>SUM(PC12:PC29)</f>
        <v>0</v>
      </c>
      <c r="PD30" s="477">
        <f t="shared" ref="PD30:PE30" si="289">SUM(PD12:PD29)</f>
        <v>0</v>
      </c>
      <c r="PE30" s="741">
        <f t="shared" si="289"/>
        <v>0</v>
      </c>
      <c r="PF30" s="477">
        <f>SUM(PF12:PF29)</f>
        <v>0</v>
      </c>
      <c r="PG30" s="741">
        <f>SUM(PG12:PG29)</f>
        <v>0</v>
      </c>
      <c r="PH30" s="618">
        <f t="shared" ref="PH30" si="290">SUM(PH12:PH29)</f>
        <v>0</v>
      </c>
      <c r="PI30" s="472">
        <f>SUM(PI12:PI29)</f>
        <v>0</v>
      </c>
      <c r="PJ30" s="818">
        <f>SUM(PJ12:PJ29)</f>
        <v>0</v>
      </c>
      <c r="PK30" s="472">
        <f t="shared" ref="PK30:PL30" si="291">SUM(PK12:PK29)</f>
        <v>0</v>
      </c>
      <c r="PL30" s="818">
        <f t="shared" si="291"/>
        <v>0</v>
      </c>
      <c r="PM30" s="472">
        <f>SUM(PM12:PM29)</f>
        <v>0</v>
      </c>
      <c r="PN30" s="818">
        <f>SUM(PN12:PN29)</f>
        <v>0</v>
      </c>
      <c r="PO30" s="478">
        <f t="shared" ref="PO30:PU30" si="292">SUM(PO12:PO29)</f>
        <v>0</v>
      </c>
      <c r="PP30" s="472">
        <f t="shared" si="292"/>
        <v>0</v>
      </c>
      <c r="PQ30" s="817">
        <f t="shared" si="292"/>
        <v>0</v>
      </c>
      <c r="PR30" s="451">
        <f t="shared" si="292"/>
        <v>0</v>
      </c>
      <c r="PS30" s="631">
        <f t="shared" si="292"/>
        <v>0</v>
      </c>
      <c r="PT30" s="707">
        <f t="shared" si="292"/>
        <v>0</v>
      </c>
      <c r="PU30" s="587">
        <f t="shared" si="292"/>
        <v>13325972.219999999</v>
      </c>
      <c r="PV30" s="477">
        <f>SUM(PV12:PV29)</f>
        <v>3731272.2199999997</v>
      </c>
      <c r="PW30" s="802">
        <f>SUM(PW12:PW29)</f>
        <v>9594700</v>
      </c>
      <c r="PX30" s="346">
        <f t="shared" ref="PX30" si="293">SUM(PX12:PX29)</f>
        <v>0</v>
      </c>
      <c r="PY30" s="621">
        <f>SUM(PY12:PY29)</f>
        <v>0</v>
      </c>
      <c r="PZ30" s="707">
        <f>SUM(PZ12:PZ29)</f>
        <v>0</v>
      </c>
      <c r="QA30" s="346">
        <f t="shared" ref="QA30" si="294">SUM(QA12:QA29)</f>
        <v>0</v>
      </c>
      <c r="QB30" s="588">
        <f t="shared" ref="QB30:QD30" si="295">SUM(QB12:QB29)</f>
        <v>0</v>
      </c>
      <c r="QC30" s="710">
        <f t="shared" si="295"/>
        <v>0</v>
      </c>
      <c r="QD30" s="346">
        <f t="shared" si="295"/>
        <v>0</v>
      </c>
      <c r="QE30" s="621">
        <f t="shared" ref="QE30:QG30" si="296">SUM(QE12:QE29)</f>
        <v>0</v>
      </c>
      <c r="QF30" s="707">
        <f t="shared" si="296"/>
        <v>0</v>
      </c>
      <c r="QG30" s="618">
        <f t="shared" si="296"/>
        <v>0</v>
      </c>
      <c r="QH30" s="588">
        <f t="shared" ref="QH30:QJ30" si="297">SUM(QH12:QH29)</f>
        <v>0</v>
      </c>
      <c r="QI30" s="710">
        <f t="shared" si="297"/>
        <v>0</v>
      </c>
      <c r="QJ30" s="618">
        <f t="shared" si="297"/>
        <v>0</v>
      </c>
      <c r="QK30" s="588">
        <f t="shared" ref="QK30:QM30" si="298">SUM(QK12:QK29)</f>
        <v>0</v>
      </c>
      <c r="QL30" s="710">
        <f t="shared" si="298"/>
        <v>0</v>
      </c>
      <c r="QM30" s="618">
        <f t="shared" si="298"/>
        <v>0</v>
      </c>
      <c r="QN30" s="595">
        <f>SUM(QN12:QN29)</f>
        <v>0</v>
      </c>
      <c r="QO30" s="710">
        <f>SUM(QO12:QO29)</f>
        <v>0</v>
      </c>
      <c r="QP30" s="618">
        <f t="shared" ref="QP30" si="299">SUM(QP12:QP29)</f>
        <v>0</v>
      </c>
      <c r="QQ30" s="621">
        <f t="shared" ref="QQ30:QR30" si="300">SUM(QQ12:QQ29)</f>
        <v>0</v>
      </c>
      <c r="QR30" s="707">
        <f t="shared" si="300"/>
        <v>0</v>
      </c>
      <c r="QS30" s="451">
        <f t="shared" ref="QS30:RN30" si="301">SUM(QS12:QS29)</f>
        <v>344747699.31999999</v>
      </c>
      <c r="QT30" s="451">
        <f t="shared" si="301"/>
        <v>84435292.089999989</v>
      </c>
      <c r="QU30" s="478">
        <f t="shared" si="301"/>
        <v>208195421.25999999</v>
      </c>
      <c r="QV30" s="451">
        <f t="shared" si="301"/>
        <v>60149626.360000014</v>
      </c>
      <c r="QW30" s="925">
        <f t="shared" si="301"/>
        <v>163761218.24000004</v>
      </c>
      <c r="QX30" s="614">
        <f t="shared" si="301"/>
        <v>53194689.690000013</v>
      </c>
      <c r="QY30" s="926">
        <f t="shared" si="301"/>
        <v>44434203.019999996</v>
      </c>
      <c r="QZ30" s="614">
        <f t="shared" si="301"/>
        <v>6954936.6699999999</v>
      </c>
      <c r="RA30" s="346">
        <f t="shared" si="301"/>
        <v>5921060370</v>
      </c>
      <c r="RB30" s="588">
        <f t="shared" si="301"/>
        <v>5851548769</v>
      </c>
      <c r="RC30" s="477">
        <f t="shared" si="301"/>
        <v>69511601</v>
      </c>
      <c r="RD30" s="346">
        <f t="shared" si="301"/>
        <v>3583900046.4300003</v>
      </c>
      <c r="RE30" s="589">
        <f t="shared" si="301"/>
        <v>3546249006</v>
      </c>
      <c r="RF30" s="477">
        <f t="shared" si="301"/>
        <v>37651040.43</v>
      </c>
      <c r="RG30" s="478">
        <f t="shared" si="301"/>
        <v>5563053769</v>
      </c>
      <c r="RH30" s="451">
        <f t="shared" si="301"/>
        <v>3397959206</v>
      </c>
      <c r="RI30" s="478">
        <f t="shared" si="301"/>
        <v>211113800</v>
      </c>
      <c r="RJ30" s="451">
        <f t="shared" si="301"/>
        <v>103113300</v>
      </c>
      <c r="RK30" s="478">
        <f t="shared" si="301"/>
        <v>58587800</v>
      </c>
      <c r="RL30" s="451">
        <f t="shared" si="301"/>
        <v>33046000</v>
      </c>
      <c r="RM30" s="451">
        <f t="shared" si="301"/>
        <v>28803000</v>
      </c>
      <c r="RN30" s="451">
        <f t="shared" si="301"/>
        <v>12567161.530000001</v>
      </c>
      <c r="RO30" s="633">
        <f t="shared" ref="RO30:TD30" si="302">SUM(RO12:RO29)</f>
        <v>47200</v>
      </c>
      <c r="RP30" s="451">
        <f t="shared" si="302"/>
        <v>5184</v>
      </c>
      <c r="RQ30" s="633">
        <f t="shared" si="302"/>
        <v>0</v>
      </c>
      <c r="RR30" s="451">
        <f t="shared" si="302"/>
        <v>0</v>
      </c>
      <c r="RS30" s="633">
        <f t="shared" si="302"/>
        <v>2143401</v>
      </c>
      <c r="RT30" s="451">
        <f t="shared" si="302"/>
        <v>2022732</v>
      </c>
      <c r="RU30" s="587">
        <f t="shared" si="302"/>
        <v>0</v>
      </c>
      <c r="RV30" s="451">
        <f t="shared" si="302"/>
        <v>0</v>
      </c>
      <c r="RW30" s="587">
        <f t="shared" ref="RW30:RX30" si="303">SUM(RW12:RW29)</f>
        <v>0</v>
      </c>
      <c r="RX30" s="451">
        <f t="shared" si="303"/>
        <v>0</v>
      </c>
      <c r="RY30" s="478">
        <f t="shared" si="302"/>
        <v>57311400</v>
      </c>
      <c r="RZ30" s="588">
        <f t="shared" si="302"/>
        <v>18793400</v>
      </c>
      <c r="SA30" s="472">
        <f t="shared" si="302"/>
        <v>420000</v>
      </c>
      <c r="SB30" s="1648">
        <f t="shared" si="302"/>
        <v>38098000</v>
      </c>
      <c r="SC30" s="451">
        <f t="shared" si="302"/>
        <v>35186462.900000006</v>
      </c>
      <c r="SD30" s="451">
        <f>SUM(SD12:SD29)</f>
        <v>12130500</v>
      </c>
      <c r="SE30" s="478">
        <f>SUM(SE12:SE29)</f>
        <v>0</v>
      </c>
      <c r="SF30" s="451">
        <f t="shared" si="302"/>
        <v>23055962.900000002</v>
      </c>
      <c r="SG30" s="562">
        <f t="shared" si="302"/>
        <v>165500000</v>
      </c>
      <c r="SH30" s="563">
        <f t="shared" si="302"/>
        <v>15749900</v>
      </c>
      <c r="SI30" s="478">
        <f t="shared" ref="SI30:SV30" si="304">SUM(SI12:SI29)</f>
        <v>0</v>
      </c>
      <c r="SJ30" s="588">
        <f t="shared" si="304"/>
        <v>0</v>
      </c>
      <c r="SK30" s="710">
        <f t="shared" si="304"/>
        <v>0</v>
      </c>
      <c r="SL30" s="451">
        <f t="shared" si="304"/>
        <v>0</v>
      </c>
      <c r="SM30" s="588">
        <f t="shared" ref="SM30:SN30" si="305">SUM(SM12:SM29)</f>
        <v>0</v>
      </c>
      <c r="SN30" s="710">
        <f t="shared" si="305"/>
        <v>0</v>
      </c>
      <c r="SO30" s="570">
        <f t="shared" si="304"/>
        <v>0</v>
      </c>
      <c r="SP30" s="1341">
        <f t="shared" ref="SP30" si="306">SUM(SP12:SP29)</f>
        <v>0</v>
      </c>
      <c r="SQ30" s="566">
        <f t="shared" si="304"/>
        <v>0</v>
      </c>
      <c r="SR30" s="1341">
        <f t="shared" si="304"/>
        <v>0</v>
      </c>
      <c r="SS30" s="956">
        <f t="shared" si="304"/>
        <v>0</v>
      </c>
      <c r="ST30" s="946">
        <f t="shared" si="304"/>
        <v>0</v>
      </c>
      <c r="SU30" s="956">
        <f t="shared" si="304"/>
        <v>0</v>
      </c>
      <c r="SV30" s="1341">
        <f t="shared" si="304"/>
        <v>0</v>
      </c>
      <c r="SW30" s="959">
        <f t="shared" si="302"/>
        <v>0</v>
      </c>
      <c r="SX30" s="959">
        <f t="shared" si="302"/>
        <v>0</v>
      </c>
      <c r="SY30" s="959">
        <f t="shared" si="302"/>
        <v>0</v>
      </c>
      <c r="SZ30" s="959">
        <f t="shared" si="302"/>
        <v>0</v>
      </c>
      <c r="TA30" s="563">
        <f t="shared" si="302"/>
        <v>0</v>
      </c>
      <c r="TB30" s="710">
        <f t="shared" si="302"/>
        <v>0</v>
      </c>
      <c r="TC30" s="563">
        <f t="shared" si="302"/>
        <v>0</v>
      </c>
      <c r="TD30" s="710">
        <f t="shared" si="302"/>
        <v>0</v>
      </c>
      <c r="TE30" s="563">
        <f t="shared" ref="TE30:VL30" si="307">SUM(TE12:TE29)</f>
        <v>15000000</v>
      </c>
      <c r="TF30" s="710">
        <f t="shared" si="307"/>
        <v>15000000</v>
      </c>
      <c r="TG30" s="563">
        <f t="shared" si="307"/>
        <v>15000000</v>
      </c>
      <c r="TH30" s="710">
        <f t="shared" si="307"/>
        <v>15000000</v>
      </c>
      <c r="TI30" s="1216">
        <f t="shared" si="307"/>
        <v>0</v>
      </c>
      <c r="TJ30" s="565">
        <f t="shared" si="307"/>
        <v>0</v>
      </c>
      <c r="TK30" s="1221">
        <f t="shared" si="307"/>
        <v>15000000</v>
      </c>
      <c r="TL30" s="565">
        <f t="shared" si="307"/>
        <v>15000000</v>
      </c>
      <c r="TM30" s="563">
        <f t="shared" si="307"/>
        <v>0</v>
      </c>
      <c r="TN30" s="710">
        <f t="shared" si="307"/>
        <v>0</v>
      </c>
      <c r="TO30" s="563">
        <f t="shared" si="307"/>
        <v>0</v>
      </c>
      <c r="TP30" s="710">
        <f t="shared" si="307"/>
        <v>0</v>
      </c>
      <c r="TQ30" s="563">
        <f t="shared" ref="TQ30:TY30" si="308">SUM(TQ12:TQ29)</f>
        <v>0</v>
      </c>
      <c r="TR30" s="710">
        <f t="shared" si="308"/>
        <v>0</v>
      </c>
      <c r="TS30" s="563">
        <f t="shared" si="308"/>
        <v>0</v>
      </c>
      <c r="TT30" s="710">
        <f t="shared" si="308"/>
        <v>0</v>
      </c>
      <c r="TU30" s="1216">
        <f t="shared" si="308"/>
        <v>0</v>
      </c>
      <c r="TV30" s="565">
        <f t="shared" si="308"/>
        <v>0</v>
      </c>
      <c r="TW30" s="1221">
        <f t="shared" si="308"/>
        <v>0</v>
      </c>
      <c r="TX30" s="1481">
        <f t="shared" si="308"/>
        <v>0</v>
      </c>
      <c r="TY30" s="563">
        <f t="shared" si="308"/>
        <v>0</v>
      </c>
      <c r="TZ30" s="1240">
        <f t="shared" ref="TZ30:UB30" si="309">SUM(TZ12:TZ29)</f>
        <v>0</v>
      </c>
      <c r="UA30" s="946">
        <f t="shared" si="309"/>
        <v>0</v>
      </c>
      <c r="UB30" s="563">
        <f t="shared" si="309"/>
        <v>0</v>
      </c>
      <c r="UC30" s="1240">
        <f t="shared" ref="UC30:UD30" si="310">SUM(UC12:UC29)</f>
        <v>0</v>
      </c>
      <c r="UD30" s="946">
        <f t="shared" si="310"/>
        <v>0</v>
      </c>
      <c r="UE30" s="563">
        <f t="shared" ref="UE30:UG30" si="311">SUM(UE12:UE29)</f>
        <v>150500000</v>
      </c>
      <c r="UF30" s="1240">
        <f t="shared" si="311"/>
        <v>60500000</v>
      </c>
      <c r="UG30" s="946">
        <f t="shared" si="311"/>
        <v>90000000</v>
      </c>
      <c r="UH30" s="563">
        <f t="shared" ref="UH30:UJ30" si="312">SUM(UH12:UH29)</f>
        <v>749900</v>
      </c>
      <c r="UI30" s="567">
        <f t="shared" si="312"/>
        <v>0</v>
      </c>
      <c r="UJ30" s="1341">
        <f t="shared" si="312"/>
        <v>749900</v>
      </c>
      <c r="UK30" s="1501">
        <f t="shared" ref="UK30:UN30" si="313">SUM(UK12:UK29)</f>
        <v>0</v>
      </c>
      <c r="UL30" s="959">
        <f t="shared" si="313"/>
        <v>0</v>
      </c>
      <c r="UM30" s="1501">
        <f t="shared" si="313"/>
        <v>150500000</v>
      </c>
      <c r="UN30" s="959">
        <f t="shared" si="313"/>
        <v>749900</v>
      </c>
      <c r="UO30" s="451">
        <f t="shared" ref="UO30:UT30" si="314">SUM(UO12:UO29)</f>
        <v>0</v>
      </c>
      <c r="UP30" s="685">
        <f t="shared" si="314"/>
        <v>0</v>
      </c>
      <c r="UQ30" s="707">
        <f t="shared" si="314"/>
        <v>0</v>
      </c>
      <c r="UR30" s="451">
        <f t="shared" si="314"/>
        <v>0</v>
      </c>
      <c r="US30" s="685">
        <f t="shared" si="314"/>
        <v>0</v>
      </c>
      <c r="UT30" s="707">
        <f t="shared" si="314"/>
        <v>0</v>
      </c>
      <c r="UU30" s="451">
        <f t="shared" ref="UU30:UZ30" si="315">SUM(UU12:UU29)</f>
        <v>0</v>
      </c>
      <c r="UV30" s="685">
        <f t="shared" si="315"/>
        <v>0</v>
      </c>
      <c r="UW30" s="707">
        <f t="shared" si="315"/>
        <v>0</v>
      </c>
      <c r="UX30" s="451">
        <f t="shared" si="315"/>
        <v>0</v>
      </c>
      <c r="UY30" s="685">
        <f t="shared" si="315"/>
        <v>0</v>
      </c>
      <c r="UZ30" s="707">
        <f t="shared" si="315"/>
        <v>0</v>
      </c>
      <c r="VA30" s="566">
        <f t="shared" si="307"/>
        <v>0</v>
      </c>
      <c r="VB30" s="1162">
        <f>'[1]Иные межбюджетные трансферты'!I28</f>
        <v>0</v>
      </c>
      <c r="VC30" s="1163">
        <f>'[1]Иные межбюджетные трансферты'!K28</f>
        <v>0</v>
      </c>
      <c r="VD30" s="1164">
        <f>'[1]Иные межбюджетные трансферты'!M28</f>
        <v>0</v>
      </c>
      <c r="VE30" s="566">
        <f t="shared" ref="VE30" si="316">SUM(VE12:VE29)</f>
        <v>0</v>
      </c>
      <c r="VF30" s="568">
        <f>SUM(VF12:VF29)</f>
        <v>0</v>
      </c>
      <c r="VG30" s="946">
        <f>SUM(VG12:VG29)</f>
        <v>0</v>
      </c>
      <c r="VH30" s="568">
        <f>SUM(VH12:VH29)</f>
        <v>0</v>
      </c>
      <c r="VI30" s="566">
        <f t="shared" si="307"/>
        <v>0</v>
      </c>
      <c r="VJ30" s="568">
        <f t="shared" si="307"/>
        <v>0</v>
      </c>
      <c r="VK30" s="566">
        <f t="shared" si="307"/>
        <v>0</v>
      </c>
      <c r="VL30" s="567">
        <f t="shared" si="307"/>
        <v>0</v>
      </c>
      <c r="VM30" s="956">
        <f t="shared" ref="VM30:WL30" si="317">SUM(VM12:VM29)</f>
        <v>0</v>
      </c>
      <c r="VN30" s="567">
        <f t="shared" si="317"/>
        <v>0</v>
      </c>
      <c r="VO30" s="956">
        <f t="shared" si="317"/>
        <v>0</v>
      </c>
      <c r="VP30" s="567">
        <f t="shared" si="317"/>
        <v>0</v>
      </c>
      <c r="VQ30" s="956">
        <f t="shared" si="317"/>
        <v>0</v>
      </c>
      <c r="VR30" s="568">
        <f t="shared" si="317"/>
        <v>0</v>
      </c>
      <c r="VS30" s="956">
        <f t="shared" si="317"/>
        <v>0</v>
      </c>
      <c r="VT30" s="567">
        <f t="shared" si="317"/>
        <v>0</v>
      </c>
      <c r="VU30" s="570">
        <f t="shared" si="317"/>
        <v>-429369300</v>
      </c>
      <c r="VV30" s="566">
        <f t="shared" si="317"/>
        <v>-131138300</v>
      </c>
      <c r="VW30" s="564">
        <f t="shared" si="317"/>
        <v>45200000</v>
      </c>
      <c r="VX30" s="564">
        <f t="shared" si="317"/>
        <v>22600000</v>
      </c>
      <c r="VY30" s="564">
        <f t="shared" si="317"/>
        <v>20540000</v>
      </c>
      <c r="VZ30" s="564">
        <f t="shared" si="317"/>
        <v>9381000</v>
      </c>
      <c r="WA30" s="571">
        <f t="shared" si="317"/>
        <v>4240000</v>
      </c>
      <c r="WB30" s="565">
        <f t="shared" si="317"/>
        <v>2050000</v>
      </c>
      <c r="WC30" s="572">
        <f t="shared" si="317"/>
        <v>16300000</v>
      </c>
      <c r="WD30" s="572">
        <f t="shared" si="317"/>
        <v>7331000</v>
      </c>
      <c r="WE30" s="564">
        <f t="shared" si="317"/>
        <v>-405741700</v>
      </c>
      <c r="WF30" s="564">
        <f t="shared" si="317"/>
        <v>-142191700</v>
      </c>
      <c r="WG30" s="564">
        <f t="shared" si="317"/>
        <v>-89367600</v>
      </c>
      <c r="WH30" s="564">
        <f t="shared" si="317"/>
        <v>-20927600</v>
      </c>
      <c r="WI30" s="572">
        <f t="shared" si="317"/>
        <v>-29567600</v>
      </c>
      <c r="WJ30" s="572">
        <f t="shared" si="317"/>
        <v>-9127600</v>
      </c>
      <c r="WK30" s="572">
        <f t="shared" si="317"/>
        <v>-59800000</v>
      </c>
      <c r="WL30" s="572">
        <f t="shared" si="317"/>
        <v>-11800000</v>
      </c>
      <c r="WM30" s="1547">
        <f>'План и исполнение'!WE30+'План и исполнение'!WG30</f>
        <v>-495109300</v>
      </c>
      <c r="WN30" s="1547">
        <f>'План и исполнение'!WF30+'План и исполнение'!WH30</f>
        <v>-163119300</v>
      </c>
    </row>
    <row r="31" spans="1:613" s="340" customFormat="1" ht="25.5" customHeight="1" x14ac:dyDescent="0.3">
      <c r="A31" s="353"/>
      <c r="B31" s="536"/>
      <c r="C31" s="473"/>
      <c r="D31" s="504"/>
      <c r="E31" s="471"/>
      <c r="F31" s="773"/>
      <c r="G31" s="1561"/>
      <c r="H31" s="1562"/>
      <c r="I31" s="1561"/>
      <c r="J31" s="776"/>
      <c r="K31" s="777"/>
      <c r="L31" s="776"/>
      <c r="M31" s="796"/>
      <c r="N31" s="774"/>
      <c r="O31" s="812"/>
      <c r="P31" s="774"/>
      <c r="Q31" s="774"/>
      <c r="R31" s="778"/>
      <c r="S31" s="777"/>
      <c r="T31" s="778"/>
      <c r="U31" s="796"/>
      <c r="V31" s="775"/>
      <c r="W31" s="775"/>
      <c r="X31" s="841"/>
      <c r="Y31" s="779"/>
      <c r="Z31" s="779"/>
      <c r="AA31" s="773"/>
      <c r="AB31" s="775"/>
      <c r="AC31" s="780"/>
      <c r="AD31" s="779"/>
      <c r="AE31" s="778"/>
      <c r="AF31" s="777"/>
      <c r="AG31" s="778"/>
      <c r="AH31" s="777"/>
      <c r="AI31" s="622"/>
      <c r="AJ31" s="622"/>
      <c r="AK31" s="613"/>
      <c r="AL31" s="474"/>
      <c r="AM31" s="474"/>
      <c r="AN31" s="624"/>
      <c r="AO31" s="474"/>
      <c r="AP31" s="613"/>
      <c r="AQ31" s="532"/>
      <c r="AR31" s="532"/>
      <c r="AS31" s="532"/>
      <c r="AT31" s="532"/>
      <c r="AU31" s="613"/>
      <c r="AV31" s="908"/>
      <c r="AW31" s="474"/>
      <c r="AX31" s="799"/>
      <c r="AY31" s="613"/>
      <c r="AZ31" s="674"/>
      <c r="BA31" s="674"/>
      <c r="BB31" s="799"/>
      <c r="BC31" s="698"/>
      <c r="BD31" s="799"/>
      <c r="BE31" s="617"/>
      <c r="BF31" s="674"/>
      <c r="BG31" s="696"/>
      <c r="BH31" s="674"/>
      <c r="BI31" s="799"/>
      <c r="BJ31" s="674"/>
      <c r="BK31" s="698"/>
      <c r="BL31" s="799"/>
      <c r="BM31" s="474"/>
      <c r="BN31" s="799"/>
      <c r="BO31" s="698"/>
      <c r="BP31" s="799"/>
      <c r="BQ31" s="674"/>
      <c r="BR31" s="799"/>
      <c r="BS31" s="476"/>
      <c r="BT31" s="474"/>
      <c r="BU31" s="474"/>
      <c r="BV31" s="474"/>
      <c r="BW31" s="476"/>
      <c r="BX31" s="687"/>
      <c r="BY31" s="674"/>
      <c r="BZ31" s="474"/>
      <c r="CA31" s="476"/>
      <c r="CB31" s="474"/>
      <c r="CC31" s="474"/>
      <c r="CD31" s="474"/>
      <c r="CE31" s="476"/>
      <c r="CF31" s="674"/>
      <c r="CG31" s="799"/>
      <c r="CH31" s="474"/>
      <c r="CI31" s="616"/>
      <c r="CJ31" s="616"/>
      <c r="CK31" s="616"/>
      <c r="CL31" s="1204"/>
      <c r="CM31" s="820"/>
      <c r="CN31" s="1463"/>
      <c r="CO31" s="820"/>
      <c r="CP31" s="1463"/>
      <c r="CQ31" s="519"/>
      <c r="CR31" s="1207"/>
      <c r="CS31" s="620"/>
      <c r="CT31" s="820"/>
      <c r="CU31" s="638"/>
      <c r="CV31" s="821"/>
      <c r="CW31" s="638"/>
      <c r="CX31" s="821"/>
      <c r="CY31" s="620"/>
      <c r="CZ31" s="819"/>
      <c r="DA31" s="620"/>
      <c r="DB31" s="819"/>
      <c r="DC31" s="638"/>
      <c r="DD31" s="821"/>
      <c r="DE31" s="638"/>
      <c r="DF31" s="821"/>
      <c r="DG31" s="613"/>
      <c r="DH31" s="474"/>
      <c r="DI31" s="803"/>
      <c r="DJ31" s="476"/>
      <c r="DK31" s="799"/>
      <c r="DL31" s="715"/>
      <c r="DM31" s="620"/>
      <c r="DN31" s="866"/>
      <c r="DO31" s="687"/>
      <c r="DP31" s="715"/>
      <c r="DQ31" s="624"/>
      <c r="DR31" s="715"/>
      <c r="DS31" s="912"/>
      <c r="DT31" s="866"/>
      <c r="DU31" s="476"/>
      <c r="DV31" s="912"/>
      <c r="DW31" s="687"/>
      <c r="DX31" s="715"/>
      <c r="DY31" s="687"/>
      <c r="DZ31" s="715"/>
      <c r="EA31" s="909"/>
      <c r="EB31" s="908"/>
      <c r="EC31" s="613"/>
      <c r="ED31" s="474"/>
      <c r="EE31" s="803"/>
      <c r="EF31" s="476"/>
      <c r="EG31" s="799"/>
      <c r="EH31" s="715"/>
      <c r="EI31" s="613"/>
      <c r="EJ31" s="687"/>
      <c r="EK31" s="709"/>
      <c r="EL31" s="687"/>
      <c r="EM31" s="709"/>
      <c r="EN31" s="613"/>
      <c r="EO31" s="687"/>
      <c r="EP31" s="709"/>
      <c r="EQ31" s="687"/>
      <c r="ER31" s="709"/>
      <c r="ES31" s="613"/>
      <c r="ET31" s="474"/>
      <c r="EU31" s="715"/>
      <c r="EV31" s="476"/>
      <c r="EW31" s="799"/>
      <c r="EX31" s="715"/>
      <c r="EY31" s="613"/>
      <c r="EZ31" s="474"/>
      <c r="FA31" s="803"/>
      <c r="FB31" s="476"/>
      <c r="FC31" s="799"/>
      <c r="FD31" s="715"/>
      <c r="FE31" s="613"/>
      <c r="FF31" s="474"/>
      <c r="FG31" s="803"/>
      <c r="FH31" s="476"/>
      <c r="FI31" s="799"/>
      <c r="FJ31" s="715"/>
      <c r="FK31" s="613"/>
      <c r="FL31" s="474"/>
      <c r="FM31" s="803"/>
      <c r="FN31" s="476"/>
      <c r="FO31" s="799"/>
      <c r="FP31" s="715"/>
      <c r="FQ31" s="613"/>
      <c r="FR31" s="474"/>
      <c r="FS31" s="803"/>
      <c r="FT31" s="476"/>
      <c r="FU31" s="799"/>
      <c r="FV31" s="715"/>
      <c r="FW31" s="696"/>
      <c r="FX31" s="698"/>
      <c r="FY31" s="696"/>
      <c r="FZ31" s="698"/>
      <c r="GA31" s="613"/>
      <c r="GB31" s="474"/>
      <c r="GC31" s="786"/>
      <c r="GD31" s="613"/>
      <c r="GE31" s="474"/>
      <c r="GF31" s="786"/>
      <c r="GG31" s="613"/>
      <c r="GH31" s="474"/>
      <c r="GI31" s="786"/>
      <c r="GJ31" s="474"/>
      <c r="GK31" s="803"/>
      <c r="GL31" s="476"/>
      <c r="GM31" s="474"/>
      <c r="GN31" s="786"/>
      <c r="GO31" s="474"/>
      <c r="GP31" s="786"/>
      <c r="GQ31" s="476"/>
      <c r="GR31" s="474"/>
      <c r="GS31" s="786"/>
      <c r="GT31" s="474"/>
      <c r="GU31" s="803"/>
      <c r="GV31" s="476"/>
      <c r="GW31" s="474"/>
      <c r="GX31" s="786"/>
      <c r="GY31" s="474"/>
      <c r="GZ31" s="786"/>
      <c r="HA31" s="696"/>
      <c r="HB31" s="474"/>
      <c r="HC31" s="803"/>
      <c r="HD31" s="474"/>
      <c r="HE31" s="803"/>
      <c r="HF31" s="696"/>
      <c r="HG31" s="474"/>
      <c r="HH31" s="803"/>
      <c r="HI31" s="474"/>
      <c r="HJ31" s="786"/>
      <c r="HK31" s="696"/>
      <c r="HL31" s="474"/>
      <c r="HM31" s="786"/>
      <c r="HN31" s="474"/>
      <c r="HO31" s="803"/>
      <c r="HP31" s="696"/>
      <c r="HQ31" s="474"/>
      <c r="HR31" s="786"/>
      <c r="HS31" s="474"/>
      <c r="HT31" s="786"/>
      <c r="HU31" s="613"/>
      <c r="HV31" s="674"/>
      <c r="HW31" s="805"/>
      <c r="HX31" s="476"/>
      <c r="HY31" s="687"/>
      <c r="HZ31" s="709"/>
      <c r="IA31" s="613"/>
      <c r="IB31" s="674"/>
      <c r="IC31" s="805"/>
      <c r="ID31" s="476"/>
      <c r="IE31" s="687"/>
      <c r="IF31" s="709"/>
      <c r="IG31" s="613"/>
      <c r="IH31" s="674"/>
      <c r="II31" s="805"/>
      <c r="IJ31" s="476"/>
      <c r="IK31" s="687"/>
      <c r="IL31" s="709"/>
      <c r="IM31" s="620"/>
      <c r="IN31" s="687"/>
      <c r="IO31" s="709"/>
      <c r="IP31" s="476"/>
      <c r="IQ31" s="687"/>
      <c r="IR31" s="709"/>
      <c r="IS31" s="476"/>
      <c r="IT31" s="798"/>
      <c r="IU31" s="709"/>
      <c r="IV31" s="476"/>
      <c r="IW31" s="674"/>
      <c r="IX31" s="709"/>
      <c r="IY31" s="698"/>
      <c r="IZ31" s="799"/>
      <c r="JA31" s="709"/>
      <c r="JB31" s="694"/>
      <c r="JC31" s="674"/>
      <c r="JD31" s="805"/>
      <c r="JE31" s="698"/>
      <c r="JF31" s="799"/>
      <c r="JG31" s="709"/>
      <c r="JH31" s="698"/>
      <c r="JI31" s="687"/>
      <c r="JJ31" s="709"/>
      <c r="JK31" s="476"/>
      <c r="JL31" s="674"/>
      <c r="JM31" s="743"/>
      <c r="JN31" s="476"/>
      <c r="JO31" s="674"/>
      <c r="JP31" s="743"/>
      <c r="JQ31" s="519"/>
      <c r="JR31" s="674"/>
      <c r="JS31" s="743"/>
      <c r="JT31" s="674"/>
      <c r="JU31" s="816"/>
      <c r="JV31" s="347"/>
      <c r="JW31" s="674"/>
      <c r="JX31" s="743"/>
      <c r="JY31" s="674"/>
      <c r="JZ31" s="743"/>
      <c r="KA31" s="774"/>
      <c r="KB31" s="674"/>
      <c r="KC31" s="743"/>
      <c r="KD31" s="674"/>
      <c r="KE31" s="805"/>
      <c r="KF31" s="774"/>
      <c r="KG31" s="674"/>
      <c r="KH31" s="743"/>
      <c r="KI31" s="799"/>
      <c r="KJ31" s="709"/>
      <c r="KK31" s="796"/>
      <c r="KL31" s="674"/>
      <c r="KM31" s="743"/>
      <c r="KN31" s="799"/>
      <c r="KO31" s="709"/>
      <c r="KP31" s="796"/>
      <c r="KQ31" s="674"/>
      <c r="KR31" s="743"/>
      <c r="KS31" s="674"/>
      <c r="KT31" s="805"/>
      <c r="KU31" s="777"/>
      <c r="KV31" s="674"/>
      <c r="KW31" s="743"/>
      <c r="KX31" s="674"/>
      <c r="KY31" s="805"/>
      <c r="KZ31" s="777"/>
      <c r="LA31" s="674"/>
      <c r="LB31" s="743"/>
      <c r="LC31" s="674"/>
      <c r="LD31" s="805"/>
      <c r="LE31" s="613"/>
      <c r="LF31" s="474"/>
      <c r="LG31" s="786"/>
      <c r="LH31" s="474"/>
      <c r="LI31" s="786"/>
      <c r="LJ31" s="617"/>
      <c r="LK31" s="476"/>
      <c r="LL31" s="474"/>
      <c r="LM31" s="715"/>
      <c r="LN31" s="474"/>
      <c r="LO31" s="715"/>
      <c r="LP31" s="474"/>
      <c r="LQ31" s="613"/>
      <c r="LR31" s="474"/>
      <c r="LS31" s="617"/>
      <c r="LT31" s="474"/>
      <c r="LU31" s="709"/>
      <c r="LV31" s="613"/>
      <c r="LW31" s="532"/>
      <c r="LX31" s="866"/>
      <c r="LY31" s="649"/>
      <c r="LZ31" s="716"/>
      <c r="MA31" s="476"/>
      <c r="MB31" s="474"/>
      <c r="MC31" s="474"/>
      <c r="MD31" s="715"/>
      <c r="ME31" s="476"/>
      <c r="MF31" s="866"/>
      <c r="MG31" s="866"/>
      <c r="MH31" s="715"/>
      <c r="MI31" s="698"/>
      <c r="MJ31" s="698"/>
      <c r="MK31" s="696"/>
      <c r="ML31" s="698"/>
      <c r="MM31" s="476"/>
      <c r="MN31" s="799"/>
      <c r="MO31" s="709"/>
      <c r="MP31" s="674"/>
      <c r="MQ31" s="476"/>
      <c r="MR31" s="799"/>
      <c r="MS31" s="709"/>
      <c r="MT31" s="674"/>
      <c r="MU31" s="476"/>
      <c r="MV31" s="674"/>
      <c r="MW31" s="805"/>
      <c r="MX31" s="674"/>
      <c r="MY31" s="476"/>
      <c r="MZ31" s="674"/>
      <c r="NA31" s="805"/>
      <c r="NB31" s="674"/>
      <c r="NC31" s="777"/>
      <c r="ND31" s="799"/>
      <c r="NE31" s="709"/>
      <c r="NF31" s="674"/>
      <c r="NG31" s="777"/>
      <c r="NH31" s="799"/>
      <c r="NI31" s="709"/>
      <c r="NJ31" s="674"/>
      <c r="NK31" s="1238"/>
      <c r="NL31" s="674"/>
      <c r="NM31" s="805"/>
      <c r="NN31" s="674"/>
      <c r="NO31" s="777"/>
      <c r="NP31" s="799"/>
      <c r="NQ31" s="709"/>
      <c r="NR31" s="674"/>
      <c r="NS31" s="476"/>
      <c r="NT31" s="866"/>
      <c r="NU31" s="786"/>
      <c r="NV31" s="476"/>
      <c r="NW31" s="866"/>
      <c r="NX31" s="786"/>
      <c r="NY31" s="476"/>
      <c r="NZ31" s="866"/>
      <c r="OA31" s="786"/>
      <c r="OB31" s="866"/>
      <c r="OC31" s="786"/>
      <c r="OD31" s="866"/>
      <c r="OE31" s="786"/>
      <c r="OF31" s="476"/>
      <c r="OG31" s="866"/>
      <c r="OH31" s="786"/>
      <c r="OI31" s="866"/>
      <c r="OJ31" s="786"/>
      <c r="OK31" s="866"/>
      <c r="OL31" s="786"/>
      <c r="OM31" s="698"/>
      <c r="ON31" s="866"/>
      <c r="OO31" s="786"/>
      <c r="OP31" s="866"/>
      <c r="OQ31" s="786"/>
      <c r="OR31" s="908"/>
      <c r="OS31" s="715"/>
      <c r="OT31" s="698"/>
      <c r="OU31" s="866"/>
      <c r="OV31" s="786"/>
      <c r="OW31" s="866"/>
      <c r="OX31" s="786"/>
      <c r="OY31" s="908"/>
      <c r="OZ31" s="715"/>
      <c r="PA31" s="698"/>
      <c r="PB31" s="866"/>
      <c r="PC31" s="786"/>
      <c r="PD31" s="866"/>
      <c r="PE31" s="786"/>
      <c r="PF31" s="866"/>
      <c r="PG31" s="786"/>
      <c r="PH31" s="698"/>
      <c r="PI31" s="866"/>
      <c r="PJ31" s="786"/>
      <c r="PK31" s="866"/>
      <c r="PL31" s="786"/>
      <c r="PM31" s="866"/>
      <c r="PN31" s="786"/>
      <c r="PO31" s="613"/>
      <c r="PP31" s="474"/>
      <c r="PQ31" s="803"/>
      <c r="PR31" s="476"/>
      <c r="PS31" s="799"/>
      <c r="PT31" s="715"/>
      <c r="PU31" s="613"/>
      <c r="PV31" s="474"/>
      <c r="PW31" s="803"/>
      <c r="PX31" s="613"/>
      <c r="PY31" s="649"/>
      <c r="PZ31" s="716"/>
      <c r="QA31" s="613"/>
      <c r="QB31" s="649"/>
      <c r="QC31" s="716"/>
      <c r="QD31" s="613"/>
      <c r="QE31" s="649"/>
      <c r="QF31" s="716"/>
      <c r="QG31" s="696"/>
      <c r="QH31" s="866"/>
      <c r="QI31" s="786"/>
      <c r="QJ31" s="696"/>
      <c r="QK31" s="866"/>
      <c r="QL31" s="786"/>
      <c r="QM31" s="696"/>
      <c r="QN31" s="674"/>
      <c r="QO31" s="805"/>
      <c r="QP31" s="696"/>
      <c r="QQ31" s="649"/>
      <c r="QR31" s="716"/>
      <c r="QS31" s="476"/>
      <c r="QT31" s="476"/>
      <c r="QU31" s="613"/>
      <c r="QV31" s="347"/>
      <c r="QW31" s="778"/>
      <c r="QX31" s="777"/>
      <c r="QY31" s="778"/>
      <c r="QZ31" s="777"/>
      <c r="RA31" s="473"/>
      <c r="RB31" s="525"/>
      <c r="RC31" s="474"/>
      <c r="RD31" s="473"/>
      <c r="RE31" s="617"/>
      <c r="RF31" s="474"/>
      <c r="RG31" s="476"/>
      <c r="RH31" s="521"/>
      <c r="RI31" s="613"/>
      <c r="RJ31" s="347"/>
      <c r="RK31" s="613"/>
      <c r="RL31" s="347"/>
      <c r="RM31" s="620"/>
      <c r="RN31" s="347"/>
      <c r="RO31" s="620"/>
      <c r="RP31" s="347"/>
      <c r="RQ31" s="521"/>
      <c r="RR31" s="347"/>
      <c r="RS31" s="521"/>
      <c r="RT31" s="347"/>
      <c r="RU31" s="521"/>
      <c r="RV31" s="347"/>
      <c r="RW31" s="521"/>
      <c r="RX31" s="347"/>
      <c r="RY31" s="613"/>
      <c r="RZ31" s="474"/>
      <c r="SA31" s="474"/>
      <c r="SB31" s="624"/>
      <c r="SC31" s="476"/>
      <c r="SD31" s="347"/>
      <c r="SE31" s="521"/>
      <c r="SF31" s="347"/>
      <c r="SG31" s="279"/>
      <c r="SH31" s="168"/>
      <c r="SI31" s="613"/>
      <c r="SJ31" s="474"/>
      <c r="SK31" s="803"/>
      <c r="SL31" s="476"/>
      <c r="SM31" s="474"/>
      <c r="SN31" s="803"/>
      <c r="SO31" s="613"/>
      <c r="SP31" s="715"/>
      <c r="SQ31" s="476"/>
      <c r="SR31" s="715"/>
      <c r="SS31" s="698"/>
      <c r="ST31" s="715"/>
      <c r="SU31" s="698"/>
      <c r="SV31" s="715"/>
      <c r="SW31" s="698"/>
      <c r="SX31" s="698"/>
      <c r="SY31" s="698"/>
      <c r="SZ31" s="698"/>
      <c r="TA31" s="564"/>
      <c r="TB31" s="715"/>
      <c r="TC31" s="564"/>
      <c r="TD31" s="715"/>
      <c r="TE31" s="564"/>
      <c r="TF31" s="715"/>
      <c r="TG31" s="564"/>
      <c r="TH31" s="715"/>
      <c r="TI31" s="572"/>
      <c r="TJ31" s="572"/>
      <c r="TK31" s="575"/>
      <c r="TL31" s="572"/>
      <c r="TM31" s="564"/>
      <c r="TN31" s="715"/>
      <c r="TO31" s="564"/>
      <c r="TP31" s="715"/>
      <c r="TQ31" s="564"/>
      <c r="TR31" s="715"/>
      <c r="TS31" s="564"/>
      <c r="TT31" s="715"/>
      <c r="TU31" s="572"/>
      <c r="TV31" s="572"/>
      <c r="TW31" s="575"/>
      <c r="TX31" s="572"/>
      <c r="TY31" s="1490"/>
      <c r="TZ31" s="1486"/>
      <c r="UA31" s="1489"/>
      <c r="UB31" s="1490"/>
      <c r="UC31" s="1486"/>
      <c r="UD31" s="1489"/>
      <c r="UE31" s="1490"/>
      <c r="UF31" s="1486"/>
      <c r="UG31" s="1489"/>
      <c r="UH31" s="564"/>
      <c r="UI31" s="1486"/>
      <c r="UJ31" s="1489"/>
      <c r="UK31" s="1495"/>
      <c r="UL31" s="1495"/>
      <c r="UM31" s="1495"/>
      <c r="UN31" s="1495"/>
      <c r="UO31" s="476"/>
      <c r="UP31" s="866"/>
      <c r="UQ31" s="715"/>
      <c r="UR31" s="476"/>
      <c r="US31" s="866"/>
      <c r="UT31" s="715"/>
      <c r="UU31" s="476"/>
      <c r="UV31" s="866"/>
      <c r="UW31" s="715"/>
      <c r="UX31" s="476"/>
      <c r="UY31" s="866"/>
      <c r="UZ31" s="715"/>
      <c r="VA31" s="574"/>
      <c r="VB31" s="576"/>
      <c r="VC31" s="715"/>
      <c r="VD31" s="576"/>
      <c r="VE31" s="574"/>
      <c r="VF31" s="866"/>
      <c r="VG31" s="715"/>
      <c r="VH31" s="866"/>
      <c r="VI31" s="574"/>
      <c r="VJ31" s="576"/>
      <c r="VK31" s="574"/>
      <c r="VL31" s="576"/>
      <c r="VM31" s="957"/>
      <c r="VN31" s="576"/>
      <c r="VO31" s="957"/>
      <c r="VP31" s="576"/>
      <c r="VQ31" s="957"/>
      <c r="VR31" s="569"/>
      <c r="VS31" s="957"/>
      <c r="VT31" s="576"/>
      <c r="VU31" s="578"/>
      <c r="VV31" s="574"/>
      <c r="VW31" s="573"/>
      <c r="VX31" s="573"/>
      <c r="VY31" s="573"/>
      <c r="VZ31" s="573"/>
      <c r="WA31" s="579"/>
      <c r="WB31" s="579"/>
      <c r="WC31" s="579"/>
      <c r="WD31" s="579"/>
      <c r="WE31" s="573"/>
      <c r="WF31" s="573"/>
      <c r="WG31" s="573"/>
      <c r="WH31" s="573"/>
      <c r="WI31" s="579"/>
      <c r="WJ31" s="579"/>
      <c r="WK31" s="579"/>
      <c r="WL31" s="579"/>
      <c r="WM31" s="1547">
        <f>'План и исполнение'!WE31+'План и исполнение'!WG31</f>
        <v>0</v>
      </c>
      <c r="WN31" s="1547">
        <f>'План и исполнение'!WF31+'План и исполнение'!WH31</f>
        <v>0</v>
      </c>
    </row>
    <row r="32" spans="1:613" s="340" customFormat="1" ht="25.5" customHeight="1" x14ac:dyDescent="0.3">
      <c r="A32" s="354" t="s">
        <v>5</v>
      </c>
      <c r="B32" s="542">
        <f>D32+AI32+'План и исполнение'!RA32+'План и исполнение'!SG32</f>
        <v>1937884404.54</v>
      </c>
      <c r="C32" s="535">
        <f>E32+'План и исполнение'!RD32+AJ32+'План и исполнение'!SH32</f>
        <v>746458374.4799999</v>
      </c>
      <c r="D32" s="542">
        <f>F32+P32+N32+V32+AA32+H32</f>
        <v>269935900</v>
      </c>
      <c r="E32" s="535">
        <f>G32+Q32+O32+W32+AB32+I32</f>
        <v>172098354</v>
      </c>
      <c r="F32" s="603">
        <f>'[1]Дотация  из  ОБ_факт'!M28</f>
        <v>200725900</v>
      </c>
      <c r="G32" s="1553">
        <v>153779514</v>
      </c>
      <c r="H32" s="1556"/>
      <c r="I32" s="1554"/>
      <c r="J32" s="605"/>
      <c r="K32" s="605"/>
      <c r="L32" s="604"/>
      <c r="M32" s="782"/>
      <c r="N32" s="603">
        <f>'[1]Дотация  из  ОБ_факт'!Q28</f>
        <v>69210000</v>
      </c>
      <c r="O32" s="1050">
        <v>18318840</v>
      </c>
      <c r="P32" s="603"/>
      <c r="Q32" s="781"/>
      <c r="R32" s="605"/>
      <c r="S32" s="605"/>
      <c r="T32" s="604"/>
      <c r="U32" s="643"/>
      <c r="V32" s="603">
        <f>'[1]Дотация  из  ОБ_факт'!AA28+'[1]Дотация  из  ОБ_факт'!AC28+'[1]Дотация  из  ОБ_факт'!AG28</f>
        <v>0</v>
      </c>
      <c r="W32" s="168">
        <f>SUM(X32:Z32)</f>
        <v>0</v>
      </c>
      <c r="X32" s="842"/>
      <c r="Y32" s="606"/>
      <c r="Z32" s="607"/>
      <c r="AA32" s="603"/>
      <c r="AB32" s="465"/>
      <c r="AC32" s="608"/>
      <c r="AD32" s="609"/>
      <c r="AE32" s="605"/>
      <c r="AF32" s="605"/>
      <c r="AG32" s="604"/>
      <c r="AH32" s="772"/>
      <c r="AI32" s="599">
        <f>'План и исполнение'!LQ32+'План и исполнение'!QS32+'План и исполнение'!QU32+CQ32+CS32+CY32+DA32+BS32+CA32+'План и исполнение'!JQ32+'План и исполнение'!KA32+'План и исполнение'!EC32+'План и исполнение'!LE32+DM32+'План и исполнение'!IM32+'План и исполнение'!IS32+'План и исполнение'!MM32+'План и исполнение'!MU32+IG32+'План и исполнение'!MA32+FK32+EY32+PO32+ES32+AK32+AU32+FE32+JK32+GG32+GQ32+DG32+PU32+FQ32+EI32+QA32+NY32+GA32+CM32+HU32+IA32+NS32</f>
        <v>444905565.54000002</v>
      </c>
      <c r="AJ32" s="504">
        <f>'План и исполнение'!LV32+'План и исполнение'!QT32+'План и исполнение'!QV32+CR32+CT32+CZ32+DB32+BW32+CE32+'План и исполнение'!JV32+'План и исполнение'!KF32+'План и исполнение'!EF32+'План и исполнение'!LK32+DU32+'План и исполнение'!IP32+'План и исполнение'!IV32+'План и исполнение'!MQ32+'План и исполнение'!MY32+IJ32+'План и исполнение'!ME32+FH32+FN32+FB32+PR32+EV32+AP32+AY32+JN32+GL32+GV32+DJ32+PX32+FT32+EN32+QD32+OF32+GD32+CO32+HX32+ID32+NV32</f>
        <v>52822210.969999999</v>
      </c>
      <c r="AK32" s="542">
        <f>SUM(AL32:AO32)</f>
        <v>0</v>
      </c>
      <c r="AL32" s="343">
        <f>[1]Субсидия_факт!DB30</f>
        <v>0</v>
      </c>
      <c r="AM32" s="516">
        <f>[1]Субсидия_факт!FF30</f>
        <v>0</v>
      </c>
      <c r="AN32" s="514">
        <f>[1]Субсидия_факт!FR30</f>
        <v>0</v>
      </c>
      <c r="AO32" s="516">
        <f>[1]Субсидия_факт!MZ30</f>
        <v>0</v>
      </c>
      <c r="AP32" s="535">
        <f>SUM(AQ32:AT32)</f>
        <v>0</v>
      </c>
      <c r="AQ32" s="344"/>
      <c r="AR32" s="344"/>
      <c r="AS32" s="344"/>
      <c r="AT32" s="344"/>
      <c r="AU32" s="535"/>
      <c r="AV32" s="469"/>
      <c r="AW32" s="343"/>
      <c r="AX32" s="514"/>
      <c r="AY32" s="535"/>
      <c r="AZ32" s="547"/>
      <c r="BA32" s="547"/>
      <c r="BB32" s="548"/>
      <c r="BC32" s="610"/>
      <c r="BD32" s="680"/>
      <c r="BE32" s="469"/>
      <c r="BF32" s="343"/>
      <c r="BG32" s="610"/>
      <c r="BH32" s="647"/>
      <c r="BI32" s="514"/>
      <c r="BJ32" s="343"/>
      <c r="BK32" s="610"/>
      <c r="BL32" s="449"/>
      <c r="BM32" s="343"/>
      <c r="BN32" s="449"/>
      <c r="BO32" s="610"/>
      <c r="BP32" s="548"/>
      <c r="BQ32" s="547"/>
      <c r="BR32" s="548"/>
      <c r="BS32" s="535">
        <f t="shared" ref="BS32:BS33" si="318">SUM(BT32:BV32)</f>
        <v>71380700</v>
      </c>
      <c r="BT32" s="936">
        <f>[1]Субсидия_факт!IL30</f>
        <v>0</v>
      </c>
      <c r="BU32" s="343">
        <f>[1]Субсидия_факт!IR30</f>
        <v>0</v>
      </c>
      <c r="BV32" s="516">
        <f>[1]Субсидия_факт!JD30</f>
        <v>71380700</v>
      </c>
      <c r="BW32" s="535">
        <f t="shared" ref="BW32:BW33" si="319">SUM(BX32:BZ32)</f>
        <v>10525979.130000001</v>
      </c>
      <c r="BX32" s="810"/>
      <c r="BY32" s="547"/>
      <c r="BZ32" s="547">
        <v>10525979.130000001</v>
      </c>
      <c r="CA32" s="535">
        <f t="shared" ref="CA32:CA33" si="320">SUM(CB32:CD32)</f>
        <v>0</v>
      </c>
      <c r="CB32" s="343"/>
      <c r="CC32" s="343"/>
      <c r="CD32" s="541"/>
      <c r="CE32" s="535">
        <f t="shared" ref="CE32:CE33" si="321">SUM(CF32:CH32)</f>
        <v>0</v>
      </c>
      <c r="CF32" s="547"/>
      <c r="CG32" s="548"/>
      <c r="CH32" s="810"/>
      <c r="CI32" s="544"/>
      <c r="CJ32" s="544"/>
      <c r="CK32" s="544"/>
      <c r="CL32" s="546"/>
      <c r="CM32" s="965">
        <f t="shared" ref="CM32:CO33" si="322">CN32</f>
        <v>0</v>
      </c>
      <c r="CN32" s="721">
        <f>[1]Субсидия_факт!FT30</f>
        <v>0</v>
      </c>
      <c r="CO32" s="965">
        <f t="shared" si="322"/>
        <v>0</v>
      </c>
      <c r="CP32" s="1464"/>
      <c r="CQ32" s="534">
        <f>[1]Субсидия_факт!FV30</f>
        <v>45164953.560000002</v>
      </c>
      <c r="CR32" s="1203">
        <f>9477249.43+13574122.12</f>
        <v>23051371.549999997</v>
      </c>
      <c r="CS32" s="540"/>
      <c r="CT32" s="341"/>
      <c r="CU32" s="543"/>
      <c r="CV32" s="544"/>
      <c r="CW32" s="610"/>
      <c r="CX32" s="342"/>
      <c r="CY32" s="542">
        <f>[1]Субсидия_факт!GB30</f>
        <v>12498761.379999999</v>
      </c>
      <c r="CZ32" s="341">
        <f>3535300.17+714427.48</f>
        <v>4249727.6500000004</v>
      </c>
      <c r="DA32" s="534"/>
      <c r="DB32" s="341"/>
      <c r="DC32" s="543"/>
      <c r="DD32" s="544"/>
      <c r="DE32" s="794"/>
      <c r="DF32" s="342"/>
      <c r="DG32" s="542">
        <f>SUM(DH32:DI32)</f>
        <v>0</v>
      </c>
      <c r="DH32" s="541">
        <f>[1]Субсидия_факт!EV30</f>
        <v>0</v>
      </c>
      <c r="DI32" s="721">
        <f>[1]Субсидия_факт!EX30</f>
        <v>0</v>
      </c>
      <c r="DJ32" s="535">
        <f>SUM(DK32:DL32)</f>
        <v>0</v>
      </c>
      <c r="DK32" s="548"/>
      <c r="DL32" s="717"/>
      <c r="DM32" s="540">
        <f>SUM(DN32:DT32)</f>
        <v>4200000</v>
      </c>
      <c r="DN32" s="541">
        <f>[1]Субсидия_факт!R30</f>
        <v>1000000</v>
      </c>
      <c r="DO32" s="1210">
        <f>[1]Субсидия_факт!T30</f>
        <v>0</v>
      </c>
      <c r="DP32" s="713">
        <f>[1]Субсидия_факт!V30</f>
        <v>0</v>
      </c>
      <c r="DQ32" s="516">
        <f>[1]Субсидия_факт!X30</f>
        <v>0</v>
      </c>
      <c r="DR32" s="814">
        <f>[1]Субсидия_факт!Z30</f>
        <v>0</v>
      </c>
      <c r="DS32" s="516">
        <f>[1]Субсидия_факт!AB30</f>
        <v>3200000</v>
      </c>
      <c r="DT32" s="673">
        <f>[1]Субсидия_факт!AD30</f>
        <v>0</v>
      </c>
      <c r="DU32" s="535">
        <f>SUM(DV32:EB32)</f>
        <v>59633.26</v>
      </c>
      <c r="DV32" s="762"/>
      <c r="DW32" s="810"/>
      <c r="DX32" s="717"/>
      <c r="DY32" s="810"/>
      <c r="DZ32" s="717"/>
      <c r="EA32" s="548">
        <v>59633.26</v>
      </c>
      <c r="EB32" s="810"/>
      <c r="EC32" s="542">
        <f>SUM(ED32:EE32)</f>
        <v>0</v>
      </c>
      <c r="ED32" s="541">
        <f>[1]Субсидия_факт!BN30</f>
        <v>0</v>
      </c>
      <c r="EE32" s="721">
        <f>[1]Субсидия_факт!BP30</f>
        <v>0</v>
      </c>
      <c r="EF32" s="535">
        <f>SUM(EG32:EH32)</f>
        <v>0</v>
      </c>
      <c r="EG32" s="548"/>
      <c r="EH32" s="717"/>
      <c r="EI32" s="535">
        <f t="shared" ref="EI32:EI33" si="323">SUM(EJ32:EM32)</f>
        <v>0</v>
      </c>
      <c r="EJ32" s="469">
        <f>[1]Субсидия_факт!AJ30</f>
        <v>0</v>
      </c>
      <c r="EK32" s="721">
        <f>[1]Субсидия_факт!AL30</f>
        <v>0</v>
      </c>
      <c r="EL32" s="449">
        <f>[1]Субсидия_факт!AN30</f>
        <v>0</v>
      </c>
      <c r="EM32" s="721">
        <f>[1]Субсидия_факт!AP30</f>
        <v>0</v>
      </c>
      <c r="EN32" s="535">
        <f t="shared" ref="EN32:EN33" si="324">SUM(EO32:ER32)</f>
        <v>0</v>
      </c>
      <c r="EO32" s="479"/>
      <c r="EP32" s="717"/>
      <c r="EQ32" s="479"/>
      <c r="ER32" s="717"/>
      <c r="ES32" s="542">
        <f>SUM(ET32:EU32)</f>
        <v>0</v>
      </c>
      <c r="ET32" s="541">
        <f>[1]Субсидия_факт!AX30</f>
        <v>0</v>
      </c>
      <c r="EU32" s="721">
        <f>[1]Субсидия_факт!AZ30</f>
        <v>0</v>
      </c>
      <c r="EV32" s="535">
        <f>SUM(EW32:EX32)</f>
        <v>0</v>
      </c>
      <c r="EW32" s="548"/>
      <c r="EX32" s="717"/>
      <c r="EY32" s="542">
        <f>SUM(EZ32:FA32)</f>
        <v>0</v>
      </c>
      <c r="EZ32" s="541">
        <f>[1]Субсидия_факт!BZ30</f>
        <v>0</v>
      </c>
      <c r="FA32" s="721">
        <f>[1]Субсидия_факт!CB30</f>
        <v>0</v>
      </c>
      <c r="FB32" s="535">
        <f>SUM(FC32:FD32)</f>
        <v>0</v>
      </c>
      <c r="FC32" s="548"/>
      <c r="FD32" s="717"/>
      <c r="FE32" s="542">
        <f>SUM(FF32:FG32)</f>
        <v>0</v>
      </c>
      <c r="FF32" s="541">
        <f>[1]Субсидия_факт!BR30</f>
        <v>0</v>
      </c>
      <c r="FG32" s="721">
        <f>[1]Субсидия_факт!BT30</f>
        <v>0</v>
      </c>
      <c r="FH32" s="535">
        <f>SUM(FI32:FJ32)</f>
        <v>0</v>
      </c>
      <c r="FI32" s="548"/>
      <c r="FJ32" s="717"/>
      <c r="FK32" s="542">
        <f>SUM(FL32:FM32)</f>
        <v>0</v>
      </c>
      <c r="FL32" s="541">
        <f>[1]Субсидия_факт!KJ30</f>
        <v>0</v>
      </c>
      <c r="FM32" s="721">
        <f>[1]Субсидия_факт!KL30</f>
        <v>0</v>
      </c>
      <c r="FN32" s="535">
        <f>SUM(FO32:FP32)</f>
        <v>0</v>
      </c>
      <c r="FO32" s="548"/>
      <c r="FP32" s="717"/>
      <c r="FQ32" s="542">
        <f>SUM(FR32:FS32)</f>
        <v>0</v>
      </c>
      <c r="FR32" s="541"/>
      <c r="FS32" s="721"/>
      <c r="FT32" s="535">
        <f>SUM(FU32:FV32)</f>
        <v>0</v>
      </c>
      <c r="FU32" s="548"/>
      <c r="FV32" s="717"/>
      <c r="FW32" s="671"/>
      <c r="FX32" s="610"/>
      <c r="FY32" s="671"/>
      <c r="FZ32" s="610"/>
      <c r="GA32" s="535">
        <f t="shared" ref="GA32:GA33" si="325">SUM(GB32:GC32)</f>
        <v>0</v>
      </c>
      <c r="GB32" s="1210">
        <f>[1]Субсидия_факт!BJ30</f>
        <v>0</v>
      </c>
      <c r="GC32" s="713">
        <f>[1]Субсидия_факт!BL30</f>
        <v>0</v>
      </c>
      <c r="GD32" s="535">
        <f t="shared" ref="GD32:GD33" si="326">SUM(GE32:GF32)</f>
        <v>0</v>
      </c>
      <c r="GE32" s="810"/>
      <c r="GF32" s="717"/>
      <c r="GG32" s="542">
        <f>SUM(GJ32:GK32)</f>
        <v>2859071.04</v>
      </c>
      <c r="GH32" s="810"/>
      <c r="GI32" s="717"/>
      <c r="GJ32" s="541">
        <f>[1]Субсидия_факт!GX30</f>
        <v>1678043.78</v>
      </c>
      <c r="GK32" s="721">
        <f>[1]Субсидия_факт!HB30</f>
        <v>1181027.26</v>
      </c>
      <c r="GL32" s="535">
        <f>SUM(GO32:GP32)</f>
        <v>0</v>
      </c>
      <c r="GM32" s="810"/>
      <c r="GN32" s="717"/>
      <c r="GO32" s="810"/>
      <c r="GP32" s="717"/>
      <c r="GQ32" s="535">
        <f t="shared" ref="GQ32:GQ33" si="327">SUM(GR32:GU32)</f>
        <v>0</v>
      </c>
      <c r="GR32" s="810"/>
      <c r="GS32" s="717"/>
      <c r="GT32" s="541"/>
      <c r="GU32" s="721"/>
      <c r="GV32" s="535">
        <f t="shared" ref="GV32:GV33" si="328">SUM(GW32:GZ32)</f>
        <v>0</v>
      </c>
      <c r="GW32" s="810"/>
      <c r="GX32" s="717"/>
      <c r="GY32" s="810"/>
      <c r="GZ32" s="717"/>
      <c r="HA32" s="610"/>
      <c r="HB32" s="541"/>
      <c r="HC32" s="721"/>
      <c r="HD32" s="541"/>
      <c r="HE32" s="721"/>
      <c r="HF32" s="610"/>
      <c r="HG32" s="541"/>
      <c r="HH32" s="721"/>
      <c r="HI32" s="810"/>
      <c r="HJ32" s="717"/>
      <c r="HK32" s="610"/>
      <c r="HL32" s="810"/>
      <c r="HM32" s="717"/>
      <c r="HN32" s="541"/>
      <c r="HO32" s="721"/>
      <c r="HP32" s="610"/>
      <c r="HQ32" s="810"/>
      <c r="HR32" s="717"/>
      <c r="HS32" s="810"/>
      <c r="HT32" s="717"/>
      <c r="HU32" s="542">
        <f t="shared" ref="HU32:HU33" si="329">SUM(HV32:HW32)</f>
        <v>0</v>
      </c>
      <c r="HV32" s="516">
        <f>[1]Субсидия_факт!N30</f>
        <v>0</v>
      </c>
      <c r="HW32" s="721">
        <f>[1]Субсидия_факт!P30</f>
        <v>0</v>
      </c>
      <c r="HX32" s="535">
        <f t="shared" ref="HX32:HX33" si="330">SUM(HY32:HZ32)</f>
        <v>0</v>
      </c>
      <c r="HY32" s="547"/>
      <c r="HZ32" s="717"/>
      <c r="IA32" s="542">
        <f t="shared" ref="IA32:IA33" si="331">SUM(IB32:IC32)</f>
        <v>0</v>
      </c>
      <c r="IB32" s="541">
        <f>[1]Субсидия_факт!DZ30</f>
        <v>0</v>
      </c>
      <c r="IC32" s="721">
        <f>[1]Субсидия_факт!EB30</f>
        <v>0</v>
      </c>
      <c r="ID32" s="535">
        <f t="shared" ref="ID32:ID33" si="332">SUM(IE32:IF32)</f>
        <v>0</v>
      </c>
      <c r="IE32" s="547"/>
      <c r="IF32" s="717"/>
      <c r="IG32" s="542">
        <f t="shared" ref="IG32:IG33" si="333">SUM(IH32:II32)</f>
        <v>5672500</v>
      </c>
      <c r="IH32" s="516">
        <f>[1]Субсидия_факт!EP30</f>
        <v>1588500</v>
      </c>
      <c r="II32" s="721">
        <f>[1]Субсидия_факт!ER30</f>
        <v>4084000</v>
      </c>
      <c r="IJ32" s="535">
        <f t="shared" ref="IJ32:IJ33" si="334">SUM(IK32:IL32)</f>
        <v>3566912.97</v>
      </c>
      <c r="IK32" s="547">
        <v>998861.39</v>
      </c>
      <c r="IL32" s="717">
        <v>2568051.58</v>
      </c>
      <c r="IM32" s="542">
        <f>SUM(IN32:IO32)</f>
        <v>0</v>
      </c>
      <c r="IN32" s="541">
        <f>[1]Субсидия_факт!ED30</f>
        <v>0</v>
      </c>
      <c r="IO32" s="721">
        <f>[1]Субсидия_факт!EJ30</f>
        <v>0</v>
      </c>
      <c r="IP32" s="535">
        <f>SUM(IQ32:IR32)</f>
        <v>0</v>
      </c>
      <c r="IQ32" s="810"/>
      <c r="IR32" s="717"/>
      <c r="IS32" s="535"/>
      <c r="IT32" s="541"/>
      <c r="IU32" s="721"/>
      <c r="IV32" s="535"/>
      <c r="IW32" s="547"/>
      <c r="IX32" s="739"/>
      <c r="IY32" s="610"/>
      <c r="IZ32" s="680"/>
      <c r="JA32" s="713"/>
      <c r="JB32" s="794"/>
      <c r="JC32" s="647"/>
      <c r="JD32" s="801"/>
      <c r="JE32" s="610"/>
      <c r="JF32" s="541"/>
      <c r="JG32" s="927"/>
      <c r="JH32" s="610"/>
      <c r="JI32" s="541"/>
      <c r="JJ32" s="721"/>
      <c r="JK32" s="535">
        <f t="shared" ref="JK32:JK33" si="335">SUM(JL32:JM32)</f>
        <v>0</v>
      </c>
      <c r="JL32" s="647">
        <f>[1]Субсидия_факт!AR30</f>
        <v>0</v>
      </c>
      <c r="JM32" s="713">
        <f>[1]Субсидия_факт!AT30</f>
        <v>0</v>
      </c>
      <c r="JN32" s="535">
        <f t="shared" ref="JN32:JN33" si="336">SUM(JO32:JP32)</f>
        <v>0</v>
      </c>
      <c r="JO32" s="647"/>
      <c r="JP32" s="713"/>
      <c r="JQ32" s="535">
        <f>SUM(JR32:JU32)</f>
        <v>0</v>
      </c>
      <c r="JR32" s="647">
        <f>[1]Субсидия_факт!CJ30</f>
        <v>0</v>
      </c>
      <c r="JS32" s="713">
        <f>[1]Субсидия_факт!CP30</f>
        <v>0</v>
      </c>
      <c r="JT32" s="541">
        <f>[1]Субсидия_факт!DN30</f>
        <v>0</v>
      </c>
      <c r="JU32" s="927">
        <f>[1]Субсидия_факт!DT30</f>
        <v>0</v>
      </c>
      <c r="JV32" s="535">
        <f>SUM(JW32:JZ32)</f>
        <v>0</v>
      </c>
      <c r="JW32" s="547"/>
      <c r="JX32" s="717"/>
      <c r="JY32" s="547"/>
      <c r="JZ32" s="806"/>
      <c r="KA32" s="535"/>
      <c r="KB32" s="547"/>
      <c r="KC32" s="717"/>
      <c r="KD32" s="541"/>
      <c r="KE32" s="927"/>
      <c r="KF32" s="535"/>
      <c r="KG32" s="547"/>
      <c r="KH32" s="717"/>
      <c r="KI32" s="548"/>
      <c r="KJ32" s="717"/>
      <c r="KK32" s="610"/>
      <c r="KL32" s="547"/>
      <c r="KM32" s="717"/>
      <c r="KN32" s="680"/>
      <c r="KO32" s="713"/>
      <c r="KP32" s="610"/>
      <c r="KQ32" s="547"/>
      <c r="KR32" s="717"/>
      <c r="KS32" s="647"/>
      <c r="KT32" s="801"/>
      <c r="KU32" s="610"/>
      <c r="KV32" s="547"/>
      <c r="KW32" s="717"/>
      <c r="KX32" s="541"/>
      <c r="KY32" s="927"/>
      <c r="KZ32" s="610"/>
      <c r="LA32" s="547"/>
      <c r="LB32" s="717"/>
      <c r="LC32" s="516"/>
      <c r="LD32" s="814"/>
      <c r="LE32" s="535">
        <f t="shared" ref="LE32:LE33" si="337">SUM(LF32:LJ32)</f>
        <v>0</v>
      </c>
      <c r="LF32" s="541">
        <f>[1]Субсидия_факт!CD30</f>
        <v>0</v>
      </c>
      <c r="LG32" s="721">
        <f>[1]Субсидия_факт!CF30</f>
        <v>0</v>
      </c>
      <c r="LH32" s="541">
        <f>[1]Субсидия_факт!BV30</f>
        <v>0</v>
      </c>
      <c r="LI32" s="721">
        <f>[1]Субсидия_факт!BX30</f>
        <v>0</v>
      </c>
      <c r="LJ32" s="516">
        <f>[1]Субсидия_факт!CH30</f>
        <v>0</v>
      </c>
      <c r="LK32" s="535">
        <f t="shared" ref="LK32:LK33" si="338">SUM(LL32:LP32)</f>
        <v>0</v>
      </c>
      <c r="LL32" s="547"/>
      <c r="LM32" s="717"/>
      <c r="LN32" s="547"/>
      <c r="LO32" s="717"/>
      <c r="LP32" s="547"/>
      <c r="LQ32" s="542">
        <f>SUM(LR32:LU32)</f>
        <v>0</v>
      </c>
      <c r="LR32" s="516">
        <f>[1]Субсидия_факт!HN30</f>
        <v>0</v>
      </c>
      <c r="LS32" s="516">
        <f>[1]Субсидия_факт!HL30</f>
        <v>0</v>
      </c>
      <c r="LT32" s="541">
        <f>[1]Субсидия_факт!HV30</f>
        <v>0</v>
      </c>
      <c r="LU32" s="721">
        <f>[1]Субсидия_факт!HX30</f>
        <v>0</v>
      </c>
      <c r="LV32" s="535">
        <f>SUM(LW32:LZ32)</f>
        <v>0</v>
      </c>
      <c r="LW32" s="344"/>
      <c r="LX32" s="547"/>
      <c r="LY32" s="479"/>
      <c r="LZ32" s="717"/>
      <c r="MA32" s="535"/>
      <c r="MB32" s="516">
        <f>[1]Субсидия_факт!HT30</f>
        <v>0</v>
      </c>
      <c r="MC32" s="516">
        <f>[1]Субсидия_факт!HP30</f>
        <v>0</v>
      </c>
      <c r="MD32" s="721">
        <f>[1]Субсидия_факт!HR30</f>
        <v>0</v>
      </c>
      <c r="ME32" s="535"/>
      <c r="MF32" s="547"/>
      <c r="MG32" s="547"/>
      <c r="MH32" s="717"/>
      <c r="MI32" s="865"/>
      <c r="MJ32" s="865"/>
      <c r="MK32" s="671"/>
      <c r="ML32" s="929"/>
      <c r="MM32" s="686">
        <f t="shared" ref="MM32:MM33" si="339">SUM(MN32:MP32)</f>
        <v>38064736.840000004</v>
      </c>
      <c r="MN32" s="541">
        <f>[1]Субсидия_факт!LH30</f>
        <v>1608236.84</v>
      </c>
      <c r="MO32" s="927">
        <f>[1]Субсидия_факт!LN30</f>
        <v>30556500</v>
      </c>
      <c r="MP32" s="516">
        <f>[1]Субсидия_факт!LT30</f>
        <v>5900000</v>
      </c>
      <c r="MQ32" s="686">
        <f t="shared" ref="MQ32:MQ33" si="340">SUM(MR32:MT32)</f>
        <v>5900000</v>
      </c>
      <c r="MR32" s="548"/>
      <c r="MS32" s="717"/>
      <c r="MT32" s="516">
        <f>MP32</f>
        <v>5900000</v>
      </c>
      <c r="MU32" s="686"/>
      <c r="MV32" s="541"/>
      <c r="MW32" s="927"/>
      <c r="MX32" s="516"/>
      <c r="MY32" s="686">
        <f t="shared" ref="MY32:MY33" si="341">SUM(MZ32:NB32)</f>
        <v>0</v>
      </c>
      <c r="MZ32" s="547"/>
      <c r="NA32" s="807"/>
      <c r="NB32" s="516"/>
      <c r="NC32" s="690"/>
      <c r="ND32" s="680"/>
      <c r="NE32" s="713"/>
      <c r="NF32" s="647"/>
      <c r="NG32" s="690"/>
      <c r="NH32" s="680"/>
      <c r="NI32" s="713"/>
      <c r="NJ32" s="647"/>
      <c r="NK32" s="1239"/>
      <c r="NL32" s="541"/>
      <c r="NM32" s="927"/>
      <c r="NN32" s="516"/>
      <c r="NO32" s="690"/>
      <c r="NP32" s="548"/>
      <c r="NQ32" s="717"/>
      <c r="NR32" s="516"/>
      <c r="NS32" s="535"/>
      <c r="NT32" s="493"/>
      <c r="NU32" s="746"/>
      <c r="NV32" s="535"/>
      <c r="NW32" s="493"/>
      <c r="NX32" s="746"/>
      <c r="NY32" s="535"/>
      <c r="NZ32" s="493"/>
      <c r="OA32" s="746"/>
      <c r="OB32" s="493"/>
      <c r="OC32" s="746"/>
      <c r="OD32" s="493"/>
      <c r="OE32" s="746"/>
      <c r="OF32" s="535"/>
      <c r="OG32" s="493"/>
      <c r="OH32" s="746"/>
      <c r="OI32" s="493"/>
      <c r="OJ32" s="746"/>
      <c r="OK32" s="493"/>
      <c r="OL32" s="746"/>
      <c r="OM32" s="610"/>
      <c r="ON32" s="493"/>
      <c r="OO32" s="746"/>
      <c r="OP32" s="493"/>
      <c r="OQ32" s="746"/>
      <c r="OR32" s="1194"/>
      <c r="OS32" s="713"/>
      <c r="OT32" s="610"/>
      <c r="OU32" s="493"/>
      <c r="OV32" s="746"/>
      <c r="OW32" s="493"/>
      <c r="OX32" s="746"/>
      <c r="OY32" s="1194"/>
      <c r="OZ32" s="713"/>
      <c r="PA32" s="610"/>
      <c r="PB32" s="493"/>
      <c r="PC32" s="746"/>
      <c r="PD32" s="493"/>
      <c r="PE32" s="746"/>
      <c r="PF32" s="493"/>
      <c r="PG32" s="746"/>
      <c r="PH32" s="610"/>
      <c r="PI32" s="493"/>
      <c r="PJ32" s="746"/>
      <c r="PK32" s="493"/>
      <c r="PL32" s="746"/>
      <c r="PM32" s="493"/>
      <c r="PN32" s="746"/>
      <c r="PO32" s="542">
        <f>SUM(PP32:PQ32)</f>
        <v>0</v>
      </c>
      <c r="PP32" s="541">
        <f>[1]Субсидия_факт!AF30</f>
        <v>0</v>
      </c>
      <c r="PQ32" s="721">
        <f>[1]Субсидия_факт!AH30</f>
        <v>0</v>
      </c>
      <c r="PR32" s="535">
        <f>SUM(PS32:PT32)</f>
        <v>0</v>
      </c>
      <c r="PS32" s="548"/>
      <c r="PT32" s="717"/>
      <c r="PU32" s="535">
        <f>SUM(PV32:PW32)</f>
        <v>0</v>
      </c>
      <c r="PV32" s="516">
        <f>[1]Субсидия_факт!MN30</f>
        <v>0</v>
      </c>
      <c r="PW32" s="814">
        <f>[1]Субсидия_факт!MP30</f>
        <v>0</v>
      </c>
      <c r="PX32" s="535">
        <f>SUM(PY32:PZ32)</f>
        <v>0</v>
      </c>
      <c r="PY32" s="479"/>
      <c r="PZ32" s="717"/>
      <c r="QA32" s="535">
        <f>SUM(QB32:QC32)</f>
        <v>0</v>
      </c>
      <c r="QB32" s="1194"/>
      <c r="QC32" s="713"/>
      <c r="QD32" s="535">
        <f>SUM(QE32:QF32)</f>
        <v>0</v>
      </c>
      <c r="QE32" s="479"/>
      <c r="QF32" s="717"/>
      <c r="QG32" s="610">
        <f>SUM(QH32:QI32)</f>
        <v>0</v>
      </c>
      <c r="QH32" s="493"/>
      <c r="QI32" s="746"/>
      <c r="QJ32" s="610">
        <f>SUM(QK32:QL32)</f>
        <v>0</v>
      </c>
      <c r="QK32" s="493"/>
      <c r="QL32" s="746"/>
      <c r="QM32" s="610">
        <f>SUM(QN32:QO32)</f>
        <v>0</v>
      </c>
      <c r="QN32" s="647"/>
      <c r="QO32" s="801"/>
      <c r="QP32" s="610">
        <f>SUM(QQ32:QR32)</f>
        <v>0</v>
      </c>
      <c r="QQ32" s="479"/>
      <c r="QR32" s="717"/>
      <c r="QS32" s="535">
        <f>'Прочая  субсидия_МР  и  ГО'!B28</f>
        <v>265064842.72</v>
      </c>
      <c r="QT32" s="535">
        <f>'Прочая  субсидия_МР  и  ГО'!C28</f>
        <v>5468586.4100000001</v>
      </c>
      <c r="QU32" s="545"/>
      <c r="QV32" s="545"/>
      <c r="QW32" s="625"/>
      <c r="QX32" s="626"/>
      <c r="QY32" s="625"/>
      <c r="QZ32" s="626"/>
      <c r="RA32" s="542">
        <f t="shared" ref="RA32:RA33" si="342">SUM(RB32:RC32)</f>
        <v>841102939</v>
      </c>
      <c r="RB32" s="343">
        <f>'План и исполнение'!RZ32+'План и исполнение'!RG32+'План и исполнение'!RI32+'План и исполнение'!RK32</f>
        <v>836967139</v>
      </c>
      <c r="RC32" s="343">
        <f>'План и исполнение'!SB32+'План и исполнение'!RM32+'План и исполнение'!RS32+'План и исполнение'!RO32+'План и исполнение'!RQ32+RU32+RW32+SA32</f>
        <v>4135800</v>
      </c>
      <c r="RD32" s="535">
        <f t="shared" ref="RD32:RD33" si="343">SUM(RE32:RF32)</f>
        <v>463434152.83999997</v>
      </c>
      <c r="RE32" s="516">
        <f>'План и исполнение'!SD32+'План и исполнение'!RH32+'План и исполнение'!RJ32+'План и исполнение'!RL32</f>
        <v>461373100</v>
      </c>
      <c r="RF32" s="343">
        <f>'План и исполнение'!SF32+'План и исполнение'!RN32+'План и исполнение'!RT32+'План и исполнение'!RP32+'План и исполнение'!RR32+RV32+RX32+SE32</f>
        <v>2061052.84</v>
      </c>
      <c r="RG32" s="535">
        <f>'Субвенция  на  полномочия'!B26</f>
        <v>789764039</v>
      </c>
      <c r="RH32" s="542">
        <f>'Субвенция  на  полномочия'!C26</f>
        <v>433428100</v>
      </c>
      <c r="RI32" s="279">
        <f>[1]Субвенция_факт!P29*1000</f>
        <v>30622000</v>
      </c>
      <c r="RJ32" s="770">
        <v>15300000</v>
      </c>
      <c r="RK32" s="279">
        <f>[1]Субвенция_факт!K29*1000</f>
        <v>13995800</v>
      </c>
      <c r="RL32" s="770">
        <v>11000000</v>
      </c>
      <c r="RM32" s="279">
        <f>[1]Субвенция_факт!AF29*1000</f>
        <v>0</v>
      </c>
      <c r="RN32" s="770"/>
      <c r="RO32" s="279">
        <f>[1]Субвенция_факт!AG29*1000</f>
        <v>15800</v>
      </c>
      <c r="RP32" s="770"/>
      <c r="RQ32" s="279">
        <f>[1]Субвенция_факт!E29*1000</f>
        <v>0</v>
      </c>
      <c r="RR32" s="770"/>
      <c r="RS32" s="279">
        <f>[1]Субвенция_факт!F29*1000</f>
        <v>0</v>
      </c>
      <c r="RT32" s="835"/>
      <c r="RU32" s="168">
        <f>[1]Субвенция_факт!G29*1000</f>
        <v>0</v>
      </c>
      <c r="RV32" s="612"/>
      <c r="RW32" s="168">
        <f>[1]Субвенция_факт!H29*1000</f>
        <v>0</v>
      </c>
      <c r="RX32" s="612"/>
      <c r="RY32" s="504">
        <f t="shared" ref="RY32:RY33" si="344">RZ32+SB32+SA32</f>
        <v>6705300</v>
      </c>
      <c r="RZ32" s="887">
        <f>[1]Субвенция_факт!AE29*1000</f>
        <v>2585300</v>
      </c>
      <c r="SA32" s="882">
        <f>[1]Субвенция_факт!AD29*1000</f>
        <v>320000</v>
      </c>
      <c r="SB32" s="1158">
        <f>[1]Субвенция_факт!AC29*1000</f>
        <v>3800000</v>
      </c>
      <c r="SC32" s="535">
        <f>SUM(SD32:SF32)</f>
        <v>3706052.84</v>
      </c>
      <c r="SD32" s="1168">
        <v>1645000</v>
      </c>
      <c r="SE32" s="1646"/>
      <c r="SF32" s="1652">
        <v>2061052.84</v>
      </c>
      <c r="SG32" s="279">
        <f>'План и исполнение'!VI32+'План и исполнение'!VA32+'План и исполнение'!TA32+'План и исполнение'!TE32+UO32+UU32+SO32+SS32+TM32+TQ32+UE32+SI32+TY32</f>
        <v>381940000</v>
      </c>
      <c r="SH32" s="168">
        <f>'План и исполнение'!VK32+'План и исполнение'!VE32+'План и исполнение'!TC32+'План и исполнение'!TG32+UR32+UX32+SQ32+SU32+TO32+TS32+UH32+SL32+UB32</f>
        <v>58103656.670000002</v>
      </c>
      <c r="SI32" s="542">
        <f>SJ32+SK32</f>
        <v>0</v>
      </c>
      <c r="SJ32" s="887">
        <f>'[1]Иные межбюджетные трансферты'!E30</f>
        <v>0</v>
      </c>
      <c r="SK32" s="945">
        <f>'[1]Иные межбюджетные трансферты'!G30</f>
        <v>0</v>
      </c>
      <c r="SL32" s="535">
        <f>SUM(SM32:SN32)</f>
        <v>0</v>
      </c>
      <c r="SM32" s="1323"/>
      <c r="SN32" s="1464"/>
      <c r="SO32" s="1335">
        <f t="shared" si="192"/>
        <v>240000000</v>
      </c>
      <c r="SP32" s="1115">
        <f>'[1]Иные межбюджетные трансферты'!W30</f>
        <v>240000000</v>
      </c>
      <c r="SQ32" s="1333">
        <f t="shared" si="193"/>
        <v>39903656.670000002</v>
      </c>
      <c r="SR32" s="1328">
        <v>39903656.670000002</v>
      </c>
      <c r="SS32" s="1344"/>
      <c r="ST32" s="1328"/>
      <c r="SU32" s="1344">
        <f t="shared" si="195"/>
        <v>0</v>
      </c>
      <c r="SV32" s="978"/>
      <c r="SW32" s="1327"/>
      <c r="SX32" s="1327"/>
      <c r="SY32" s="1327"/>
      <c r="SZ32" s="1327"/>
      <c r="TA32" s="965">
        <f>SUM(TB32:TB32)</f>
        <v>70000000</v>
      </c>
      <c r="TB32" s="1115">
        <f>'[1]Иные межбюджетные трансферты'!AC30</f>
        <v>70000000</v>
      </c>
      <c r="TC32" s="965">
        <f>SUM(TD32:TD32)</f>
        <v>18200000</v>
      </c>
      <c r="TD32" s="1464">
        <v>18200000</v>
      </c>
      <c r="TE32" s="965">
        <f>SUM(TF32:TF32)</f>
        <v>0</v>
      </c>
      <c r="TF32" s="1115"/>
      <c r="TG32" s="965">
        <f>SUM(TH32:TH32)</f>
        <v>0</v>
      </c>
      <c r="TH32" s="945"/>
      <c r="TI32" s="962"/>
      <c r="TJ32" s="962"/>
      <c r="TK32" s="962"/>
      <c r="TL32" s="962"/>
      <c r="TM32" s="965">
        <f>SUM(TN32:TN32)</f>
        <v>0</v>
      </c>
      <c r="TN32" s="1115">
        <f>'[1]Иные межбюджетные трансферты'!AI30</f>
        <v>0</v>
      </c>
      <c r="TO32" s="965">
        <f>SUM(TP32:TP32)</f>
        <v>0</v>
      </c>
      <c r="TP32" s="945"/>
      <c r="TQ32" s="965">
        <f>SUM(TR32:TR32)</f>
        <v>0</v>
      </c>
      <c r="TR32" s="1115"/>
      <c r="TS32" s="965">
        <f>SUM(TT32:TT32)</f>
        <v>0</v>
      </c>
      <c r="TT32" s="945"/>
      <c r="TU32" s="962"/>
      <c r="TV32" s="962"/>
      <c r="TW32" s="962"/>
      <c r="TX32" s="962"/>
      <c r="TY32" s="965">
        <f t="shared" ref="TY32:TY33" si="345">SUM(TZ32:UA32)</f>
        <v>71940000</v>
      </c>
      <c r="TZ32" s="1487">
        <f>'[1]Иные межбюджетные трансферты'!AS30</f>
        <v>27440000</v>
      </c>
      <c r="UA32" s="713">
        <f>'[1]Иные межбюджетные трансферты'!AW30</f>
        <v>44500000</v>
      </c>
      <c r="UB32" s="965">
        <f t="shared" ref="UB32:UB33" si="346">SUM(UC32:UD32)</f>
        <v>0</v>
      </c>
      <c r="UC32" s="1487"/>
      <c r="UD32" s="717"/>
      <c r="UE32" s="965">
        <f t="shared" ref="UE32:UE33" si="347">SUM(UF32:UG32)</f>
        <v>0</v>
      </c>
      <c r="UF32" s="1487"/>
      <c r="UG32" s="713"/>
      <c r="UH32" s="965">
        <f t="shared" ref="UH32:UH33" si="348">SUM(UI32:UJ32)</f>
        <v>0</v>
      </c>
      <c r="UI32" s="1487"/>
      <c r="UJ32" s="713"/>
      <c r="UK32" s="1493"/>
      <c r="UL32" s="1493"/>
      <c r="UM32" s="1493"/>
      <c r="UN32" s="1493"/>
      <c r="UO32" s="168">
        <f>SUM(UP32:UQ32)</f>
        <v>0</v>
      </c>
      <c r="UP32" s="882">
        <f>'[1]Иные межбюджетные трансферты'!S30</f>
        <v>0</v>
      </c>
      <c r="UQ32" s="945">
        <f>'[1]Иные межбюджетные трансферты'!U30</f>
        <v>0</v>
      </c>
      <c r="UR32" s="168">
        <f>SUM(US32:UT32)</f>
        <v>0</v>
      </c>
      <c r="US32" s="882"/>
      <c r="UT32" s="945"/>
      <c r="UU32" s="168">
        <f>SUM(UV32:UW32)</f>
        <v>0</v>
      </c>
      <c r="UV32" s="882">
        <f>'[1]Иные межбюджетные трансферты'!O30</f>
        <v>0</v>
      </c>
      <c r="UW32" s="945">
        <f>'[1]Иные межбюджетные трансферты'!Q30</f>
        <v>0</v>
      </c>
      <c r="UX32" s="168">
        <f>SUM(UY32:UZ32)</f>
        <v>0</v>
      </c>
      <c r="UY32" s="882"/>
      <c r="UZ32" s="945"/>
      <c r="VA32" s="888">
        <f t="shared" ref="VA32:VA33" si="349">SUM(VB32:VD32)</f>
        <v>0</v>
      </c>
      <c r="VB32" s="887">
        <f>'[1]Иные межбюджетные трансферты'!I30</f>
        <v>0</v>
      </c>
      <c r="VC32" s="945">
        <f>'[1]Иные межбюджетные трансферты'!K30</f>
        <v>0</v>
      </c>
      <c r="VD32" s="1158">
        <f>'[1]Иные межбюджетные трансферты'!M30</f>
        <v>0</v>
      </c>
      <c r="VE32" s="888">
        <f t="shared" ref="VE32:VE33" si="350">SUM(VF32:VH32)</f>
        <v>0</v>
      </c>
      <c r="VF32" s="980"/>
      <c r="VG32" s="978"/>
      <c r="VH32" s="980"/>
      <c r="VI32" s="528">
        <f>SUM(VJ32:VJ32)</f>
        <v>0</v>
      </c>
      <c r="VJ32" s="882"/>
      <c r="VK32" s="888">
        <f>SUM(VL32:VL32)</f>
        <v>0</v>
      </c>
      <c r="VL32" s="531"/>
      <c r="VM32" s="893">
        <f>SUM(VN32:VN32)</f>
        <v>0</v>
      </c>
      <c r="VN32" s="529"/>
      <c r="VO32" s="893">
        <f>SUM(VP32:VP32)</f>
        <v>0</v>
      </c>
      <c r="VP32" s="529"/>
      <c r="VQ32" s="893">
        <f>SUM(VR32:VR32)</f>
        <v>0</v>
      </c>
      <c r="VR32" s="882"/>
      <c r="VS32" s="1028">
        <f>SUM(VT32:VT32)</f>
        <v>0</v>
      </c>
      <c r="VT32" s="531"/>
      <c r="VU32" s="535">
        <f>VW32+'План и исполнение'!WE32+WA32+'План и исполнение'!WI32+WC32+'План и исполнение'!WK32</f>
        <v>-251000000</v>
      </c>
      <c r="VV32" s="535">
        <f>VX32+'План и исполнение'!WF32+WB32+'План и исполнение'!WJ32+WD32+'План и исполнение'!WL32</f>
        <v>-99000000</v>
      </c>
      <c r="VW32" s="545">
        <f>32300000+27000000+4500000</f>
        <v>63800000</v>
      </c>
      <c r="VX32" s="545"/>
      <c r="VY32" s="545"/>
      <c r="VZ32" s="545"/>
      <c r="WA32" s="539"/>
      <c r="WB32" s="539"/>
      <c r="WC32" s="539"/>
      <c r="WD32" s="539"/>
      <c r="WE32" s="545">
        <f>-255500000-32300000-27000000</f>
        <v>-314800000</v>
      </c>
      <c r="WF32" s="545">
        <v>-99000000</v>
      </c>
      <c r="WG32" s="545"/>
      <c r="WH32" s="545"/>
      <c r="WI32" s="539"/>
      <c r="WJ32" s="539"/>
      <c r="WK32" s="539"/>
      <c r="WL32" s="539"/>
      <c r="WM32" s="1547">
        <f>'План и исполнение'!WE32+'План и исполнение'!WG32</f>
        <v>-314800000</v>
      </c>
      <c r="WN32" s="1547">
        <f>'План и исполнение'!WF32+'План и исполнение'!WH32</f>
        <v>-99000000</v>
      </c>
    </row>
    <row r="33" spans="1:612" s="340" customFormat="1" ht="25.5" customHeight="1" thickBot="1" x14ac:dyDescent="0.35">
      <c r="A33" s="353" t="s">
        <v>6</v>
      </c>
      <c r="B33" s="542">
        <f>D33+AI33+'План и исполнение'!RA33+'План и исполнение'!SG33</f>
        <v>8684803089.1599998</v>
      </c>
      <c r="C33" s="535">
        <f>E33+'План и исполнение'!RD33+AJ33+'План и исполнение'!SH33</f>
        <v>3752502761.2600002</v>
      </c>
      <c r="D33" s="542">
        <f>F33+P33+N33+V33+AA33+H33</f>
        <v>443812226</v>
      </c>
      <c r="E33" s="535">
        <f>G33+Q33+O33+W33+AB33+I33</f>
        <v>235627326</v>
      </c>
      <c r="F33" s="603">
        <f>'[1]Дотация  из  ОБ_факт'!M29</f>
        <v>226358300</v>
      </c>
      <c r="G33" s="1553">
        <v>114300000</v>
      </c>
      <c r="H33" s="1556"/>
      <c r="I33" s="1554"/>
      <c r="J33" s="605"/>
      <c r="K33" s="605"/>
      <c r="L33" s="604"/>
      <c r="M33" s="782"/>
      <c r="N33" s="603">
        <f>'[1]Дотация  из  ОБ_факт'!Q29</f>
        <v>215953925.99999997</v>
      </c>
      <c r="O33" s="1050">
        <v>119827326</v>
      </c>
      <c r="P33" s="603"/>
      <c r="Q33" s="781"/>
      <c r="R33" s="605"/>
      <c r="S33" s="605">
        <f>Q33-U33</f>
        <v>0</v>
      </c>
      <c r="T33" s="604"/>
      <c r="U33" s="643"/>
      <c r="V33" s="603">
        <f>'[1]Дотация  из  ОБ_факт'!AA29+'[1]Дотация  из  ОБ_факт'!AC29+'[1]Дотация  из  ОБ_факт'!AG29</f>
        <v>1500000</v>
      </c>
      <c r="W33" s="168">
        <f>SUM(X33:Z33)</f>
        <v>1500000</v>
      </c>
      <c r="X33" s="842"/>
      <c r="Y33" s="606">
        <v>1500000</v>
      </c>
      <c r="Z33" s="607"/>
      <c r="AA33" s="603"/>
      <c r="AB33" s="465"/>
      <c r="AC33" s="608"/>
      <c r="AD33" s="609"/>
      <c r="AE33" s="605"/>
      <c r="AF33" s="605"/>
      <c r="AG33" s="604"/>
      <c r="AH33" s="772"/>
      <c r="AI33" s="599">
        <f>'План и исполнение'!LQ33+'План и исполнение'!QS33+'План и исполнение'!QU33+CQ33+CS33+CY33+DA33+BS33+CA33+'План и исполнение'!JQ33+'План и исполнение'!KA33+'План и исполнение'!EC33+'План и исполнение'!LE33+DM33+'План и исполнение'!IM33+'План и исполнение'!IS33+'План и исполнение'!MM33+'План и исполнение'!MU33+IG33+'План и исполнение'!MA33+FK33+EY33+PO33+ES33+AK33+AU33+FE33+JK33+GG33+GQ33+DG33+PU33+FQ33+EI33+QA33+NY33+GA33+CM33+HU33+IA33+NS33</f>
        <v>2828058386.7199998</v>
      </c>
      <c r="AJ33" s="504">
        <f>'План и исполнение'!LV33+'План и исполнение'!QT33+'План и исполнение'!QV33+CR33+CT33+CZ33+DB33+BW33+CE33+'План и исполнение'!JV33+'План и исполнение'!KF33+'План и исполнение'!EF33+'План и исполнение'!LK33+DU33+'План и исполнение'!IP33+'План и исполнение'!IV33+'План и исполнение'!MQ33+'План и исполнение'!MY33+IJ33+'План и исполнение'!ME33+FH33+FN33+FB33+PR33+EV33+AP33+AY33+JN33+GL33+GV33+DJ33+PX33+FT33+EN33+QD33+OF33+GD33+CO33+HX33+ID33+NV33</f>
        <v>803832686.84000015</v>
      </c>
      <c r="AK33" s="504">
        <f>SUM(AL33:AO33)</f>
        <v>0</v>
      </c>
      <c r="AL33" s="343">
        <f>[1]Субсидия_факт!DB31</f>
        <v>0</v>
      </c>
      <c r="AM33" s="516">
        <f>[1]Субсидия_факт!FF31</f>
        <v>0</v>
      </c>
      <c r="AN33" s="514">
        <f>[1]Субсидия_факт!FR31</f>
        <v>0</v>
      </c>
      <c r="AO33" s="516">
        <f>[1]Субсидия_факт!MZ31</f>
        <v>0</v>
      </c>
      <c r="AP33" s="504">
        <f>SUM(AQ33:AT33)</f>
        <v>0</v>
      </c>
      <c r="AQ33" s="344"/>
      <c r="AR33" s="344"/>
      <c r="AS33" s="344"/>
      <c r="AT33" s="344"/>
      <c r="AU33" s="504"/>
      <c r="AV33" s="937"/>
      <c r="AW33" s="1068"/>
      <c r="AX33" s="577"/>
      <c r="AY33" s="504"/>
      <c r="AZ33" s="650"/>
      <c r="BA33" s="650"/>
      <c r="BB33" s="809"/>
      <c r="BC33" s="697"/>
      <c r="BD33" s="787"/>
      <c r="BE33" s="937"/>
      <c r="BF33" s="930"/>
      <c r="BG33" s="695"/>
      <c r="BH33" s="793"/>
      <c r="BI33" s="577"/>
      <c r="BJ33" s="930"/>
      <c r="BK33" s="697"/>
      <c r="BL33" s="933"/>
      <c r="BM33" s="930"/>
      <c r="BN33" s="933"/>
      <c r="BO33" s="697"/>
      <c r="BP33" s="809"/>
      <c r="BQ33" s="650"/>
      <c r="BR33" s="809"/>
      <c r="BS33" s="535">
        <f t="shared" si="318"/>
        <v>580834000</v>
      </c>
      <c r="BT33" s="936">
        <f>[1]Субсидия_факт!IL31</f>
        <v>17541200</v>
      </c>
      <c r="BU33" s="343">
        <f>[1]Субсидия_факт!IR31</f>
        <v>44792800</v>
      </c>
      <c r="BV33" s="529">
        <f>[1]Субсидия_факт!JD31</f>
        <v>518500000</v>
      </c>
      <c r="BW33" s="535">
        <f t="shared" si="319"/>
        <v>41833321.990000002</v>
      </c>
      <c r="BX33" s="760"/>
      <c r="BY33" s="650"/>
      <c r="BZ33" s="650">
        <v>41833321.990000002</v>
      </c>
      <c r="CA33" s="535">
        <f t="shared" si="320"/>
        <v>0</v>
      </c>
      <c r="CB33" s="930"/>
      <c r="CC33" s="930"/>
      <c r="CD33" s="529"/>
      <c r="CE33" s="535">
        <f t="shared" si="321"/>
        <v>0</v>
      </c>
      <c r="CF33" s="650"/>
      <c r="CG33" s="809"/>
      <c r="CH33" s="760"/>
      <c r="CI33" s="530"/>
      <c r="CJ33" s="530"/>
      <c r="CK33" s="530"/>
      <c r="CL33" s="1205"/>
      <c r="CM33" s="965">
        <f t="shared" si="322"/>
        <v>711188.46</v>
      </c>
      <c r="CN33" s="721">
        <f>[1]Субсидия_факт!FT31</f>
        <v>711188.46</v>
      </c>
      <c r="CO33" s="965">
        <f t="shared" si="322"/>
        <v>711188.46</v>
      </c>
      <c r="CP33" s="1465">
        <v>711188.46</v>
      </c>
      <c r="CQ33" s="1462">
        <f>[1]Субсидия_факт!FV31</f>
        <v>354949672.07999998</v>
      </c>
      <c r="CR33" s="1208">
        <f>51247408.21+183143716.24</f>
        <v>234391124.45000002</v>
      </c>
      <c r="CS33" s="599"/>
      <c r="CT33" s="822"/>
      <c r="CU33" s="767"/>
      <c r="CV33" s="530"/>
      <c r="CW33" s="697"/>
      <c r="CX33" s="338"/>
      <c r="CY33" s="542">
        <f>[1]Субсидия_факт!GB31</f>
        <v>71020215.159999996</v>
      </c>
      <c r="CZ33" s="341">
        <f>9639142.96+18398828.06</f>
        <v>28037971.02</v>
      </c>
      <c r="DA33" s="534"/>
      <c r="DB33" s="822"/>
      <c r="DC33" s="767"/>
      <c r="DD33" s="530"/>
      <c r="DE33" s="691"/>
      <c r="DF33" s="338"/>
      <c r="DG33" s="504">
        <f>SUM(DH33:DI33)</f>
        <v>624092893.42999995</v>
      </c>
      <c r="DH33" s="529">
        <f>[1]Субсидия_факт!EV31</f>
        <v>12867893.43</v>
      </c>
      <c r="DI33" s="896">
        <f>[1]Субсидия_факт!EX31</f>
        <v>611225000</v>
      </c>
      <c r="DJ33" s="471">
        <f>SUM(DK33:DL33)</f>
        <v>135026743.69</v>
      </c>
      <c r="DK33" s="809">
        <v>2784056.3</v>
      </c>
      <c r="DL33" s="708">
        <v>132242687.39</v>
      </c>
      <c r="DM33" s="599">
        <f>SUM(DN33:DT33)</f>
        <v>10800000</v>
      </c>
      <c r="DN33" s="541">
        <f>[1]Субсидия_факт!R31</f>
        <v>6000000</v>
      </c>
      <c r="DO33" s="1210">
        <f>[1]Субсидия_факт!T31</f>
        <v>0</v>
      </c>
      <c r="DP33" s="713">
        <f>[1]Субсидия_факт!V31</f>
        <v>0</v>
      </c>
      <c r="DQ33" s="516">
        <f>[1]Субсидия_факт!X31</f>
        <v>0</v>
      </c>
      <c r="DR33" s="814">
        <f>[1]Субсидия_факт!Z31</f>
        <v>0</v>
      </c>
      <c r="DS33" s="516">
        <f>[1]Субсидия_факт!AB31</f>
        <v>4800000</v>
      </c>
      <c r="DT33" s="673">
        <f>[1]Субсидия_факт!AD31</f>
        <v>0</v>
      </c>
      <c r="DU33" s="471">
        <f>SUM(DV33:EB33)</f>
        <v>0</v>
      </c>
      <c r="DV33" s="790"/>
      <c r="DW33" s="760"/>
      <c r="DX33" s="708"/>
      <c r="DY33" s="760"/>
      <c r="DZ33" s="708"/>
      <c r="EA33" s="809"/>
      <c r="EB33" s="760"/>
      <c r="EC33" s="504">
        <f>SUM(ED33:EE33)</f>
        <v>0</v>
      </c>
      <c r="ED33" s="529">
        <f>[1]Субсидия_факт!BN31</f>
        <v>0</v>
      </c>
      <c r="EE33" s="896">
        <f>[1]Субсидия_факт!BP31</f>
        <v>0</v>
      </c>
      <c r="EF33" s="471">
        <f>SUM(EG33:EH33)</f>
        <v>0</v>
      </c>
      <c r="EG33" s="809"/>
      <c r="EH33" s="708"/>
      <c r="EI33" s="535">
        <f t="shared" si="323"/>
        <v>0</v>
      </c>
      <c r="EJ33" s="469">
        <f>[1]Субсидия_факт!AJ31</f>
        <v>0</v>
      </c>
      <c r="EK33" s="721">
        <f>[1]Субсидия_факт!AL31</f>
        <v>0</v>
      </c>
      <c r="EL33" s="449">
        <f>[1]Субсидия_факт!AN31</f>
        <v>0</v>
      </c>
      <c r="EM33" s="721">
        <f>[1]Субсидия_факт!AP31</f>
        <v>0</v>
      </c>
      <c r="EN33" s="535">
        <f t="shared" si="324"/>
        <v>0</v>
      </c>
      <c r="EO33" s="525"/>
      <c r="EP33" s="708"/>
      <c r="EQ33" s="525"/>
      <c r="ER33" s="708"/>
      <c r="ES33" s="504">
        <f>SUM(ET33:EU33)</f>
        <v>25526315.789999999</v>
      </c>
      <c r="ET33" s="529">
        <f>[1]Субсидия_факт!AX31</f>
        <v>526315.79</v>
      </c>
      <c r="EU33" s="789">
        <f>[1]Субсидия_факт!AZ31</f>
        <v>25000000</v>
      </c>
      <c r="EV33" s="471">
        <f>SUM(EW33:EX33)</f>
        <v>1400000</v>
      </c>
      <c r="EW33" s="809">
        <v>28865.98</v>
      </c>
      <c r="EX33" s="708">
        <v>1371134.02</v>
      </c>
      <c r="EY33" s="504">
        <f>SUM(EZ33:FA33)</f>
        <v>0</v>
      </c>
      <c r="EZ33" s="529">
        <f>[1]Субсидия_факт!BZ31</f>
        <v>0</v>
      </c>
      <c r="FA33" s="896">
        <f>[1]Субсидия_факт!CB31</f>
        <v>0</v>
      </c>
      <c r="FB33" s="471">
        <f>SUM(FC33:FD33)</f>
        <v>0</v>
      </c>
      <c r="FC33" s="809"/>
      <c r="FD33" s="708"/>
      <c r="FE33" s="504">
        <f>SUM(FF33:FG33)</f>
        <v>478686634.18000001</v>
      </c>
      <c r="FF33" s="529">
        <f>[1]Субсидия_факт!BR31</f>
        <v>23934334.18</v>
      </c>
      <c r="FG33" s="896">
        <f>[1]Субсидия_факт!BT31</f>
        <v>454752300</v>
      </c>
      <c r="FH33" s="471">
        <f>SUM(FI33:FJ33)</f>
        <v>153446533.38</v>
      </c>
      <c r="FI33" s="809">
        <v>7672327.46</v>
      </c>
      <c r="FJ33" s="708">
        <v>145774205.91999999</v>
      </c>
      <c r="FK33" s="504">
        <f>SUM(FL33:FM33)</f>
        <v>16238050</v>
      </c>
      <c r="FL33" s="529">
        <f>[1]Субсидия_факт!KJ31</f>
        <v>16238050</v>
      </c>
      <c r="FM33" s="896">
        <f>[1]Субсидия_факт!KL31</f>
        <v>0</v>
      </c>
      <c r="FN33" s="471">
        <f>SUM(FO33:FP33)</f>
        <v>0</v>
      </c>
      <c r="FO33" s="809"/>
      <c r="FP33" s="708"/>
      <c r="FQ33" s="504">
        <f>SUM(FR33:FS33)</f>
        <v>0</v>
      </c>
      <c r="FR33" s="529"/>
      <c r="FS33" s="896"/>
      <c r="FT33" s="471">
        <f>SUM(FU33:FV33)</f>
        <v>0</v>
      </c>
      <c r="FU33" s="809"/>
      <c r="FV33" s="708"/>
      <c r="FW33" s="695"/>
      <c r="FX33" s="697"/>
      <c r="FY33" s="695"/>
      <c r="FZ33" s="697"/>
      <c r="GA33" s="504">
        <f t="shared" si="325"/>
        <v>0</v>
      </c>
      <c r="GB33" s="1374">
        <f>[1]Субсидия_факт!BJ31</f>
        <v>0</v>
      </c>
      <c r="GC33" s="706">
        <f>[1]Субсидия_факт!BL31</f>
        <v>0</v>
      </c>
      <c r="GD33" s="504">
        <f t="shared" si="326"/>
        <v>0</v>
      </c>
      <c r="GE33" s="760"/>
      <c r="GF33" s="708"/>
      <c r="GG33" s="542">
        <f>SUM(GJ33:GK33)</f>
        <v>290354.81</v>
      </c>
      <c r="GH33" s="760"/>
      <c r="GI33" s="708"/>
      <c r="GJ33" s="541">
        <f>[1]Субсидия_факт!GX31</f>
        <v>170414.82</v>
      </c>
      <c r="GK33" s="721">
        <f>[1]Субсидия_факт!HB31</f>
        <v>119939.99</v>
      </c>
      <c r="GL33" s="471">
        <f>SUM(GO33:GP33)</f>
        <v>275559.09999999998</v>
      </c>
      <c r="GM33" s="760"/>
      <c r="GN33" s="708"/>
      <c r="GO33" s="760">
        <v>161730.94</v>
      </c>
      <c r="GP33" s="708">
        <v>113828.16</v>
      </c>
      <c r="GQ33" s="471">
        <f t="shared" si="327"/>
        <v>0</v>
      </c>
      <c r="GR33" s="760"/>
      <c r="GS33" s="708"/>
      <c r="GT33" s="541"/>
      <c r="GU33" s="721"/>
      <c r="GV33" s="471">
        <f t="shared" si="328"/>
        <v>0</v>
      </c>
      <c r="GW33" s="760"/>
      <c r="GX33" s="708"/>
      <c r="GY33" s="760"/>
      <c r="GZ33" s="708"/>
      <c r="HA33" s="695"/>
      <c r="HB33" s="541"/>
      <c r="HC33" s="721"/>
      <c r="HD33" s="541"/>
      <c r="HE33" s="721"/>
      <c r="HF33" s="695"/>
      <c r="HG33" s="541"/>
      <c r="HH33" s="721"/>
      <c r="HI33" s="760"/>
      <c r="HJ33" s="708"/>
      <c r="HK33" s="695"/>
      <c r="HL33" s="760"/>
      <c r="HM33" s="708"/>
      <c r="HN33" s="541"/>
      <c r="HO33" s="721"/>
      <c r="HP33" s="695"/>
      <c r="HQ33" s="760"/>
      <c r="HR33" s="708"/>
      <c r="HS33" s="760"/>
      <c r="HT33" s="708"/>
      <c r="HU33" s="504">
        <f t="shared" si="329"/>
        <v>0</v>
      </c>
      <c r="HV33" s="531">
        <f>[1]Субсидия_факт!N31</f>
        <v>0</v>
      </c>
      <c r="HW33" s="789">
        <f>[1]Субсидия_факт!P31</f>
        <v>0</v>
      </c>
      <c r="HX33" s="471">
        <f t="shared" si="330"/>
        <v>0</v>
      </c>
      <c r="HY33" s="650"/>
      <c r="HZ33" s="708"/>
      <c r="IA33" s="504">
        <f t="shared" si="331"/>
        <v>33925600</v>
      </c>
      <c r="IB33" s="541">
        <f>[1]Субсидия_факт!DZ31</f>
        <v>9499192.7100000009</v>
      </c>
      <c r="IC33" s="721">
        <f>[1]Субсидия_факт!EB31</f>
        <v>24426407.289999999</v>
      </c>
      <c r="ID33" s="471">
        <f t="shared" si="332"/>
        <v>0</v>
      </c>
      <c r="IE33" s="650"/>
      <c r="IF33" s="708"/>
      <c r="IG33" s="504">
        <f t="shared" si="333"/>
        <v>0</v>
      </c>
      <c r="IH33" s="531">
        <f>[1]Субсидия_факт!EP31</f>
        <v>0</v>
      </c>
      <c r="II33" s="789">
        <f>[1]Субсидия_факт!ER31</f>
        <v>0</v>
      </c>
      <c r="IJ33" s="471">
        <f t="shared" si="334"/>
        <v>0</v>
      </c>
      <c r="IK33" s="650"/>
      <c r="IL33" s="708"/>
      <c r="IM33" s="599">
        <f>SUM(IN33:IO33)</f>
        <v>0</v>
      </c>
      <c r="IN33" s="529">
        <f>[1]Субсидия_факт!ED31</f>
        <v>0</v>
      </c>
      <c r="IO33" s="896">
        <f>[1]Субсидия_факт!EJ31</f>
        <v>0</v>
      </c>
      <c r="IP33" s="471">
        <f>SUM(IQ33:IR33)</f>
        <v>0</v>
      </c>
      <c r="IQ33" s="760"/>
      <c r="IR33" s="708"/>
      <c r="IS33" s="471"/>
      <c r="IT33" s="529"/>
      <c r="IU33" s="789"/>
      <c r="IV33" s="471"/>
      <c r="IW33" s="650"/>
      <c r="IX33" s="742"/>
      <c r="IY33" s="697"/>
      <c r="IZ33" s="787"/>
      <c r="JA33" s="706"/>
      <c r="JB33" s="691"/>
      <c r="JC33" s="793"/>
      <c r="JD33" s="804"/>
      <c r="JE33" s="697"/>
      <c r="JF33" s="529"/>
      <c r="JG33" s="896"/>
      <c r="JH33" s="697"/>
      <c r="JI33" s="529"/>
      <c r="JJ33" s="789"/>
      <c r="JK33" s="471">
        <f t="shared" si="335"/>
        <v>0</v>
      </c>
      <c r="JL33" s="793">
        <f>[1]Субсидия_факт!AR31</f>
        <v>0</v>
      </c>
      <c r="JM33" s="706">
        <f>[1]Субсидия_факт!AT31</f>
        <v>0</v>
      </c>
      <c r="JN33" s="471">
        <f t="shared" si="336"/>
        <v>0</v>
      </c>
      <c r="JO33" s="793"/>
      <c r="JP33" s="706"/>
      <c r="JQ33" s="785">
        <f>SUM(JR33:JU33)</f>
        <v>0</v>
      </c>
      <c r="JR33" s="793">
        <f>[1]Субсидия_факт!CJ31</f>
        <v>0</v>
      </c>
      <c r="JS33" s="706">
        <f>[1]Субсидия_факт!CP31</f>
        <v>0</v>
      </c>
      <c r="JT33" s="529">
        <f>[1]Субсидия_факт!DN31</f>
        <v>0</v>
      </c>
      <c r="JU33" s="896">
        <f>[1]Субсидия_факт!DT31</f>
        <v>0</v>
      </c>
      <c r="JV33" s="471">
        <f>SUM(JW33:JZ33)</f>
        <v>0</v>
      </c>
      <c r="JW33" s="650"/>
      <c r="JX33" s="708"/>
      <c r="JY33" s="650"/>
      <c r="JZ33" s="892"/>
      <c r="KA33" s="471"/>
      <c r="KB33" s="650"/>
      <c r="KC33" s="708"/>
      <c r="KD33" s="529"/>
      <c r="KE33" s="896"/>
      <c r="KF33" s="471"/>
      <c r="KG33" s="650"/>
      <c r="KH33" s="708"/>
      <c r="KI33" s="809"/>
      <c r="KJ33" s="708"/>
      <c r="KK33" s="697"/>
      <c r="KL33" s="650"/>
      <c r="KM33" s="708"/>
      <c r="KN33" s="787"/>
      <c r="KO33" s="706"/>
      <c r="KP33" s="697"/>
      <c r="KQ33" s="650"/>
      <c r="KR33" s="708"/>
      <c r="KS33" s="793"/>
      <c r="KT33" s="804"/>
      <c r="KU33" s="697"/>
      <c r="KV33" s="650"/>
      <c r="KW33" s="708"/>
      <c r="KX33" s="529"/>
      <c r="KY33" s="896"/>
      <c r="KZ33" s="697"/>
      <c r="LA33" s="650"/>
      <c r="LB33" s="708"/>
      <c r="LC33" s="531"/>
      <c r="LD33" s="1639"/>
      <c r="LE33" s="504">
        <f t="shared" si="337"/>
        <v>150329323.05000001</v>
      </c>
      <c r="LF33" s="529">
        <f>[1]Субсидия_факт!CD31</f>
        <v>28464526.23</v>
      </c>
      <c r="LG33" s="789">
        <f>[1]Субсидия_факт!CF31</f>
        <v>73194500</v>
      </c>
      <c r="LH33" s="529">
        <f>[1]Субсидия_факт!BV31</f>
        <v>13627696.82</v>
      </c>
      <c r="LI33" s="789">
        <f>[1]Субсидия_факт!BX31</f>
        <v>35042600</v>
      </c>
      <c r="LJ33" s="529">
        <f>[1]Субсидия_факт!CH31</f>
        <v>0</v>
      </c>
      <c r="LK33" s="471">
        <f t="shared" si="338"/>
        <v>114247363.84</v>
      </c>
      <c r="LL33" s="793">
        <f>LF33</f>
        <v>28464526.23</v>
      </c>
      <c r="LM33" s="706">
        <f>LG33</f>
        <v>73194500</v>
      </c>
      <c r="LN33" s="650">
        <v>3524738.08</v>
      </c>
      <c r="LO33" s="708">
        <v>9063599.5299999993</v>
      </c>
      <c r="LP33" s="650"/>
      <c r="LQ33" s="504">
        <f>SUM(LR33:LU33)</f>
        <v>0</v>
      </c>
      <c r="LR33" s="516">
        <f>[1]Субсидия_факт!HN31</f>
        <v>0</v>
      </c>
      <c r="LS33" s="529">
        <f>[1]Субсидия_факт!HL31</f>
        <v>0</v>
      </c>
      <c r="LT33" s="541">
        <f>[1]Субсидия_факт!HV31</f>
        <v>0</v>
      </c>
      <c r="LU33" s="721">
        <f>[1]Субсидия_факт!HX31</f>
        <v>0</v>
      </c>
      <c r="LV33" s="471">
        <f>SUM(LW33:LZ33)</f>
        <v>0</v>
      </c>
      <c r="LW33" s="344"/>
      <c r="LX33" s="650"/>
      <c r="LY33" s="479"/>
      <c r="LZ33" s="717"/>
      <c r="MA33" s="471"/>
      <c r="MB33" s="531">
        <f>[1]Субсидия_факт!HT31</f>
        <v>0</v>
      </c>
      <c r="MC33" s="531">
        <f>[1]Субсидия_факт!HP31</f>
        <v>0</v>
      </c>
      <c r="MD33" s="789">
        <f>[1]Субсидия_факт!HR31</f>
        <v>0</v>
      </c>
      <c r="ME33" s="471"/>
      <c r="MF33" s="650"/>
      <c r="MG33" s="650"/>
      <c r="MH33" s="708"/>
      <c r="MI33" s="893"/>
      <c r="MJ33" s="893"/>
      <c r="MK33" s="695"/>
      <c r="ML33" s="623"/>
      <c r="MM33" s="791">
        <f t="shared" si="339"/>
        <v>200000000</v>
      </c>
      <c r="MN33" s="529">
        <f>[1]Субсидия_факт!LH31</f>
        <v>10000000</v>
      </c>
      <c r="MO33" s="896">
        <f>[1]Субсидия_факт!LN31</f>
        <v>190000000</v>
      </c>
      <c r="MP33" s="531">
        <f>[1]Субсидия_факт!LT31</f>
        <v>0</v>
      </c>
      <c r="MQ33" s="791">
        <f t="shared" si="340"/>
        <v>27307001.859999999</v>
      </c>
      <c r="MR33" s="650">
        <v>1365350.09</v>
      </c>
      <c r="MS33" s="808">
        <v>25941651.77</v>
      </c>
      <c r="MT33" s="531"/>
      <c r="MU33" s="791"/>
      <c r="MV33" s="529"/>
      <c r="MW33" s="896"/>
      <c r="MX33" s="531"/>
      <c r="MY33" s="791">
        <f t="shared" si="341"/>
        <v>0</v>
      </c>
      <c r="MZ33" s="650"/>
      <c r="NA33" s="808"/>
      <c r="NB33" s="531"/>
      <c r="NC33" s="690"/>
      <c r="ND33" s="680"/>
      <c r="NE33" s="713"/>
      <c r="NF33" s="647"/>
      <c r="NG33" s="792"/>
      <c r="NH33" s="787"/>
      <c r="NI33" s="706"/>
      <c r="NJ33" s="793"/>
      <c r="NK33" s="1237"/>
      <c r="NL33" s="529"/>
      <c r="NM33" s="896"/>
      <c r="NN33" s="531"/>
      <c r="NO33" s="792"/>
      <c r="NP33" s="809"/>
      <c r="NQ33" s="708"/>
      <c r="NR33" s="531"/>
      <c r="NS33" s="471"/>
      <c r="NT33" s="601"/>
      <c r="NU33" s="830"/>
      <c r="NV33" s="471"/>
      <c r="NW33" s="601"/>
      <c r="NX33" s="830"/>
      <c r="NY33" s="471"/>
      <c r="NZ33" s="601"/>
      <c r="OA33" s="830"/>
      <c r="OB33" s="601"/>
      <c r="OC33" s="830"/>
      <c r="OD33" s="601"/>
      <c r="OE33" s="830"/>
      <c r="OF33" s="471"/>
      <c r="OG33" s="601"/>
      <c r="OH33" s="830"/>
      <c r="OI33" s="601"/>
      <c r="OJ33" s="830"/>
      <c r="OK33" s="601"/>
      <c r="OL33" s="830"/>
      <c r="OM33" s="697"/>
      <c r="ON33" s="601"/>
      <c r="OO33" s="830"/>
      <c r="OP33" s="601"/>
      <c r="OQ33" s="830"/>
      <c r="OR33" s="601"/>
      <c r="OS33" s="830"/>
      <c r="OT33" s="697"/>
      <c r="OU33" s="601"/>
      <c r="OV33" s="830"/>
      <c r="OW33" s="601"/>
      <c r="OX33" s="830"/>
      <c r="OY33" s="601"/>
      <c r="OZ33" s="830"/>
      <c r="PA33" s="697"/>
      <c r="PB33" s="601"/>
      <c r="PC33" s="830"/>
      <c r="PD33" s="601"/>
      <c r="PE33" s="830"/>
      <c r="PF33" s="601"/>
      <c r="PG33" s="830"/>
      <c r="PH33" s="697"/>
      <c r="PI33" s="601"/>
      <c r="PJ33" s="830"/>
      <c r="PK33" s="601"/>
      <c r="PL33" s="830"/>
      <c r="PM33" s="601"/>
      <c r="PN33" s="830"/>
      <c r="PO33" s="504">
        <f>SUM(PP33:PQ33)</f>
        <v>114521875.79000001</v>
      </c>
      <c r="PP33" s="529">
        <f>[1]Субсидия_факт!AF31</f>
        <v>2361275.79</v>
      </c>
      <c r="PQ33" s="896">
        <f>[1]Субсидия_факт!AH31</f>
        <v>112160600</v>
      </c>
      <c r="PR33" s="471">
        <f>SUM(PS33:PT33)</f>
        <v>32872646.16</v>
      </c>
      <c r="PS33" s="809">
        <v>677786.53</v>
      </c>
      <c r="PT33" s="708">
        <v>32194859.629999999</v>
      </c>
      <c r="PU33" s="535">
        <f>SUM(PV33:PW33)</f>
        <v>0</v>
      </c>
      <c r="PV33" s="516">
        <f>[1]Субсидия_факт!MN31</f>
        <v>0</v>
      </c>
      <c r="PW33" s="814">
        <f>[1]Субсидия_факт!MP31</f>
        <v>0</v>
      </c>
      <c r="PX33" s="535">
        <f>SUM(PY33:PZ33)</f>
        <v>0</v>
      </c>
      <c r="PY33" s="479"/>
      <c r="PZ33" s="717"/>
      <c r="QA33" s="535">
        <f>SUM(QB33:QC33)</f>
        <v>0</v>
      </c>
      <c r="QB33" s="1194"/>
      <c r="QC33" s="713"/>
      <c r="QD33" s="535">
        <f>SUM(QE33:QF33)</f>
        <v>0</v>
      </c>
      <c r="QE33" s="479"/>
      <c r="QF33" s="717"/>
      <c r="QG33" s="610">
        <f>SUM(QH33:QI33)</f>
        <v>0</v>
      </c>
      <c r="QH33" s="601"/>
      <c r="QI33" s="830"/>
      <c r="QJ33" s="610">
        <f>SUM(QK33:QL33)</f>
        <v>0</v>
      </c>
      <c r="QK33" s="601"/>
      <c r="QL33" s="830"/>
      <c r="QM33" s="610">
        <f>SUM(QN33:QO33)</f>
        <v>0</v>
      </c>
      <c r="QN33" s="647"/>
      <c r="QO33" s="801"/>
      <c r="QP33" s="610">
        <f>SUM(QQ33:QR33)</f>
        <v>0</v>
      </c>
      <c r="QQ33" s="479"/>
      <c r="QR33" s="717"/>
      <c r="QS33" s="535">
        <f>'Прочая  субсидия_МР  и  ГО'!B29</f>
        <v>166132263.97</v>
      </c>
      <c r="QT33" s="535">
        <f>'Прочая  субсидия_МР  и  ГО'!C29</f>
        <v>34283232.889999993</v>
      </c>
      <c r="QU33" s="545"/>
      <c r="QV33" s="545"/>
      <c r="QW33" s="625"/>
      <c r="QX33" s="626"/>
      <c r="QY33" s="625"/>
      <c r="QZ33" s="626"/>
      <c r="RA33" s="542">
        <f t="shared" si="342"/>
        <v>4505620145</v>
      </c>
      <c r="RB33" s="343">
        <f>'План и исполнение'!RZ33+'План и исполнение'!RG33+'План и исполнение'!RI33+'План и исполнение'!RK33</f>
        <v>4466053746</v>
      </c>
      <c r="RC33" s="343">
        <f>'План и исполнение'!SB33+'План и исполнение'!RM33+'План и исполнение'!RS33+'План и исполнение'!RO33+'План и исполнение'!RQ33+RU33+RW33+SA33</f>
        <v>39566399</v>
      </c>
      <c r="RD33" s="535">
        <f t="shared" si="343"/>
        <v>2593521320.0100002</v>
      </c>
      <c r="RE33" s="516">
        <f>'План и исполнение'!SD33+'План и исполнение'!RH33+'План и исполнение'!RJ33+'План и исполнение'!RL33</f>
        <v>2569197830</v>
      </c>
      <c r="RF33" s="343">
        <f>'План и исполнение'!SF33+'План и исполнение'!RN33+'План и исполнение'!RT33+'План и исполнение'!RP33+'План и исполнение'!RR33+RV33+RX33+SE33</f>
        <v>24323490.009999998</v>
      </c>
      <c r="RG33" s="471">
        <f>'Субвенция  на  полномочия'!B27</f>
        <v>4290372646</v>
      </c>
      <c r="RH33" s="599">
        <f>'Субвенция  на  полномочия'!C27</f>
        <v>2462032830</v>
      </c>
      <c r="RI33" s="768">
        <f>[1]Субвенция_факт!P30*1000</f>
        <v>93233600</v>
      </c>
      <c r="RJ33" s="771">
        <v>43700000</v>
      </c>
      <c r="RK33" s="768">
        <f>[1]Субвенция_факт!K30*1000</f>
        <v>71785400</v>
      </c>
      <c r="RL33" s="771">
        <v>55240000</v>
      </c>
      <c r="RM33" s="768">
        <f>[1]Субвенция_факт!AF30*1000</f>
        <v>0</v>
      </c>
      <c r="RN33" s="771"/>
      <c r="RO33" s="768">
        <f>[1]Субвенция_факт!AG30*1000</f>
        <v>80000</v>
      </c>
      <c r="RP33" s="771"/>
      <c r="RQ33" s="768">
        <f>[1]Субвенция_факт!E30*1000</f>
        <v>0</v>
      </c>
      <c r="RR33" s="771"/>
      <c r="RS33" s="768">
        <f>[1]Субвенция_факт!F30*1000</f>
        <v>6430199.0000000009</v>
      </c>
      <c r="RT33" s="877">
        <v>6068196</v>
      </c>
      <c r="RU33" s="769">
        <f>[1]Субвенция_факт!G30*1000</f>
        <v>11813200</v>
      </c>
      <c r="RV33" s="878">
        <v>11462148</v>
      </c>
      <c r="RW33" s="168">
        <f>[1]Субвенция_факт!H30*1000</f>
        <v>0</v>
      </c>
      <c r="RX33" s="878"/>
      <c r="RY33" s="504">
        <f t="shared" si="344"/>
        <v>31905100</v>
      </c>
      <c r="RZ33" s="876">
        <f>[1]Субвенция_факт!AE30*1000</f>
        <v>10662100</v>
      </c>
      <c r="SA33" s="882">
        <f>[1]Субвенция_факт!AD30*1000</f>
        <v>100000</v>
      </c>
      <c r="SB33" s="1649">
        <f>[1]Субвенция_факт!AC30*1000</f>
        <v>21143000</v>
      </c>
      <c r="SC33" s="471">
        <f>SUM(SD33:SF33)</f>
        <v>15018146.01</v>
      </c>
      <c r="SD33" s="1167">
        <v>8225000</v>
      </c>
      <c r="SE33" s="1645"/>
      <c r="SF33" s="1652">
        <v>6793146.0099999998</v>
      </c>
      <c r="SG33" s="279">
        <f>'План и исполнение'!VI33+'План и исполнение'!VA33+'План и исполнение'!TA33+'План и исполнение'!TE33+UO33+UU33+SO33+SS33+TM33+TQ33+UE33+SI33+TY33</f>
        <v>907312331.44000006</v>
      </c>
      <c r="SH33" s="168">
        <f>'План и исполнение'!VK33+'План и исполнение'!VE33+'План и исполнение'!TC33+'План и исполнение'!TG33+UR33+UX33+SQ33+SU33+TO33+TS33+UH33+SL33+UB33</f>
        <v>119521428.41000001</v>
      </c>
      <c r="SI33" s="504">
        <f>SJ33+SK33</f>
        <v>0</v>
      </c>
      <c r="SJ33" s="887">
        <f>'[1]Иные межбюджетные трансферты'!E31</f>
        <v>0</v>
      </c>
      <c r="SK33" s="945">
        <f>'[1]Иные межбюджетные трансферты'!G31</f>
        <v>0</v>
      </c>
      <c r="SL33" s="471">
        <f>SUM(SM33:SN33)</f>
        <v>0</v>
      </c>
      <c r="SM33" s="1507"/>
      <c r="SN33" s="1508"/>
      <c r="SO33" s="1335">
        <f t="shared" si="192"/>
        <v>0</v>
      </c>
      <c r="SP33" s="1116">
        <f>'[1]Иные межбюджетные трансферты'!W31</f>
        <v>0</v>
      </c>
      <c r="SQ33" s="1342">
        <f t="shared" si="193"/>
        <v>0</v>
      </c>
      <c r="SR33" s="1328"/>
      <c r="SS33" s="1345"/>
      <c r="ST33" s="1328"/>
      <c r="SU33" s="1345">
        <f t="shared" si="195"/>
        <v>0</v>
      </c>
      <c r="SV33" s="978"/>
      <c r="SW33" s="1327"/>
      <c r="SX33" s="1327"/>
      <c r="SY33" s="1327"/>
      <c r="SZ33" s="1327"/>
      <c r="TA33" s="965">
        <f>SUM(TB33:TB33)</f>
        <v>776087457</v>
      </c>
      <c r="TB33" s="1115">
        <f>'[1]Иные межбюджетные трансферты'!AC31</f>
        <v>776087457</v>
      </c>
      <c r="TC33" s="965">
        <f>SUM(TD33:TD33)</f>
        <v>114419797.41000001</v>
      </c>
      <c r="TD33" s="1464">
        <f>117487787.01-3067989.6</f>
        <v>114419797.41000001</v>
      </c>
      <c r="TE33" s="965">
        <f>SUM(TF33:TF33)</f>
        <v>0</v>
      </c>
      <c r="TF33" s="1115"/>
      <c r="TG33" s="965">
        <f>SUM(TH33:TH33)</f>
        <v>0</v>
      </c>
      <c r="TH33" s="945"/>
      <c r="TI33" s="962"/>
      <c r="TJ33" s="962"/>
      <c r="TK33" s="962"/>
      <c r="TL33" s="962"/>
      <c r="TM33" s="965">
        <f>SUM(TN33:TN33)</f>
        <v>120000000</v>
      </c>
      <c r="TN33" s="1115">
        <f>'[1]Иные межбюджетные трансферты'!AI31</f>
        <v>120000000</v>
      </c>
      <c r="TO33" s="965">
        <f>SUM(TP33:TP33)</f>
        <v>0</v>
      </c>
      <c r="TP33" s="945"/>
      <c r="TQ33" s="965">
        <f>SUM(TR33:TR33)</f>
        <v>0</v>
      </c>
      <c r="TR33" s="1115"/>
      <c r="TS33" s="965">
        <f>SUM(TT33:TT33)</f>
        <v>0</v>
      </c>
      <c r="TT33" s="945"/>
      <c r="TU33" s="962"/>
      <c r="TV33" s="962"/>
      <c r="TW33" s="962"/>
      <c r="TX33" s="962"/>
      <c r="TY33" s="965">
        <f t="shared" si="345"/>
        <v>0</v>
      </c>
      <c r="TZ33" s="1487">
        <f>'[1]Иные межбюджетные трансферты'!AS31</f>
        <v>0</v>
      </c>
      <c r="UA33" s="713">
        <f>'[1]Иные межбюджетные трансферты'!AW31</f>
        <v>0</v>
      </c>
      <c r="UB33" s="965">
        <f t="shared" si="346"/>
        <v>0</v>
      </c>
      <c r="UC33" s="1484"/>
      <c r="UD33" s="706"/>
      <c r="UE33" s="965">
        <f t="shared" si="347"/>
        <v>0</v>
      </c>
      <c r="UF33" s="1484"/>
      <c r="UG33" s="706"/>
      <c r="UH33" s="965">
        <f t="shared" si="348"/>
        <v>0</v>
      </c>
      <c r="UI33" s="1484"/>
      <c r="UJ33" s="706"/>
      <c r="UK33" s="1493"/>
      <c r="UL33" s="1493"/>
      <c r="UM33" s="1493"/>
      <c r="UN33" s="1493"/>
      <c r="UO33" s="769">
        <f>SUM(UP33:UQ33)</f>
        <v>1000000</v>
      </c>
      <c r="UP33" s="1029">
        <f>'[1]Иные межбюджетные трансферты'!S31</f>
        <v>0</v>
      </c>
      <c r="UQ33" s="1266">
        <f>'[1]Иные межбюджетные трансферты'!U31</f>
        <v>1000000</v>
      </c>
      <c r="UR33" s="769">
        <f>SUM(US33:UT33)</f>
        <v>1000000</v>
      </c>
      <c r="US33" s="1029"/>
      <c r="UT33" s="1508">
        <v>1000000</v>
      </c>
      <c r="UU33" s="769">
        <f>SUM(UV33:UW33)</f>
        <v>10000000</v>
      </c>
      <c r="UV33" s="1029">
        <f>'[1]Иные межбюджетные трансферты'!O31</f>
        <v>0</v>
      </c>
      <c r="UW33" s="1266">
        <f>'[1]Иные межбюджетные трансферты'!Q31</f>
        <v>10000000</v>
      </c>
      <c r="UX33" s="769">
        <f>SUM(UY33:UZ33)</f>
        <v>3876756.56</v>
      </c>
      <c r="UY33" s="1631"/>
      <c r="UZ33" s="1508">
        <v>3876756.56</v>
      </c>
      <c r="VA33" s="888">
        <f t="shared" si="349"/>
        <v>224874.44</v>
      </c>
      <c r="VB33" s="887">
        <f>'[1]Иные межбюджетные трансферты'!I31</f>
        <v>0</v>
      </c>
      <c r="VC33" s="945">
        <f>'[1]Иные межбюджетные трансферты'!K31</f>
        <v>0</v>
      </c>
      <c r="VD33" s="1158">
        <f>'[1]Иные межбюджетные трансферты'!M31</f>
        <v>224874.44</v>
      </c>
      <c r="VE33" s="888">
        <f t="shared" si="350"/>
        <v>224874.44</v>
      </c>
      <c r="VF33" s="980"/>
      <c r="VG33" s="978"/>
      <c r="VH33" s="980">
        <v>224874.44</v>
      </c>
      <c r="VI33" s="528">
        <f>SUM(VJ33:VJ33)</f>
        <v>0</v>
      </c>
      <c r="VJ33" s="882"/>
      <c r="VK33" s="888">
        <f>SUM(VL33:VL33)</f>
        <v>0</v>
      </c>
      <c r="VL33" s="531"/>
      <c r="VM33" s="893">
        <f>SUM(VN33:VN33)</f>
        <v>0</v>
      </c>
      <c r="VN33" s="529"/>
      <c r="VO33" s="893">
        <f>SUM(VP33:VP33)</f>
        <v>0</v>
      </c>
      <c r="VP33" s="529"/>
      <c r="VQ33" s="893">
        <f>SUM(VR33:VR33)</f>
        <v>0</v>
      </c>
      <c r="VR33" s="884"/>
      <c r="VS33" s="1028">
        <f>SUM(VT33:VT33)</f>
        <v>0</v>
      </c>
      <c r="VT33" s="531"/>
      <c r="VU33" s="535">
        <f>VW33+'План и исполнение'!WE33+WA33+'План и исполнение'!WI33+WC33+'План и исполнение'!WK33</f>
        <v>-10000000</v>
      </c>
      <c r="VV33" s="535">
        <f>VX33+'План и исполнение'!WF33+WB33+'План и исполнение'!WJ33+WD33+'План и исполнение'!WL33</f>
        <v>0</v>
      </c>
      <c r="VW33" s="545">
        <v>63500000</v>
      </c>
      <c r="VX33" s="545"/>
      <c r="VY33" s="545"/>
      <c r="VZ33" s="545"/>
      <c r="WA33" s="539"/>
      <c r="WB33" s="539"/>
      <c r="WC33" s="539"/>
      <c r="WD33" s="539"/>
      <c r="WE33" s="545">
        <v>-73500000</v>
      </c>
      <c r="WF33" s="545"/>
      <c r="WG33" s="545"/>
      <c r="WH33" s="545"/>
      <c r="WI33" s="539"/>
      <c r="WJ33" s="539"/>
      <c r="WK33" s="539"/>
      <c r="WL33" s="539"/>
      <c r="WM33" s="1547">
        <f>'План и исполнение'!WE33+'План и исполнение'!WG33</f>
        <v>-73500000</v>
      </c>
      <c r="WN33" s="1547">
        <f>'План и исполнение'!WF33+'План и исполнение'!WH33</f>
        <v>0</v>
      </c>
    </row>
    <row r="34" spans="1:612" s="340" customFormat="1" ht="25.5" customHeight="1" thickBot="1" x14ac:dyDescent="0.35">
      <c r="A34" s="352" t="s">
        <v>7</v>
      </c>
      <c r="B34" s="347">
        <f t="shared" ref="B34:AG34" si="351">SUM(B32:B33)</f>
        <v>10622687493.700001</v>
      </c>
      <c r="C34" s="347">
        <f t="shared" si="351"/>
        <v>4498961135.7399998</v>
      </c>
      <c r="D34" s="585">
        <f t="shared" si="351"/>
        <v>713748126</v>
      </c>
      <c r="E34" s="451">
        <f t="shared" si="351"/>
        <v>407725680</v>
      </c>
      <c r="F34" s="585">
        <f t="shared" si="351"/>
        <v>427084200</v>
      </c>
      <c r="G34" s="451">
        <f t="shared" si="351"/>
        <v>268079514</v>
      </c>
      <c r="H34" s="347">
        <f t="shared" si="351"/>
        <v>0</v>
      </c>
      <c r="I34" s="451">
        <f t="shared" si="351"/>
        <v>0</v>
      </c>
      <c r="J34" s="627">
        <f t="shared" si="351"/>
        <v>0</v>
      </c>
      <c r="K34" s="627">
        <f t="shared" si="351"/>
        <v>0</v>
      </c>
      <c r="L34" s="627">
        <f t="shared" si="351"/>
        <v>0</v>
      </c>
      <c r="M34" s="928">
        <f t="shared" si="351"/>
        <v>0</v>
      </c>
      <c r="N34" s="451">
        <f t="shared" si="351"/>
        <v>285163926</v>
      </c>
      <c r="O34" s="633">
        <f t="shared" si="351"/>
        <v>138146166</v>
      </c>
      <c r="P34" s="451">
        <f t="shared" si="351"/>
        <v>0</v>
      </c>
      <c r="Q34" s="451">
        <f t="shared" si="351"/>
        <v>0</v>
      </c>
      <c r="R34" s="629">
        <f t="shared" si="351"/>
        <v>0</v>
      </c>
      <c r="S34" s="627">
        <f t="shared" si="351"/>
        <v>0</v>
      </c>
      <c r="T34" s="629">
        <f t="shared" si="351"/>
        <v>0</v>
      </c>
      <c r="U34" s="797">
        <f t="shared" si="351"/>
        <v>0</v>
      </c>
      <c r="V34" s="451">
        <f t="shared" si="351"/>
        <v>1500000</v>
      </c>
      <c r="W34" s="347">
        <f t="shared" si="351"/>
        <v>1500000</v>
      </c>
      <c r="X34" s="654">
        <f t="shared" si="351"/>
        <v>0</v>
      </c>
      <c r="Y34" s="475">
        <f t="shared" si="351"/>
        <v>1500000</v>
      </c>
      <c r="Z34" s="475">
        <f t="shared" si="351"/>
        <v>0</v>
      </c>
      <c r="AA34" s="347">
        <f t="shared" si="351"/>
        <v>0</v>
      </c>
      <c r="AB34" s="347">
        <f t="shared" si="351"/>
        <v>0</v>
      </c>
      <c r="AC34" s="630">
        <f t="shared" si="351"/>
        <v>0</v>
      </c>
      <c r="AD34" s="475">
        <f t="shared" si="351"/>
        <v>0</v>
      </c>
      <c r="AE34" s="629">
        <f t="shared" si="351"/>
        <v>0</v>
      </c>
      <c r="AF34" s="627">
        <f t="shared" si="351"/>
        <v>0</v>
      </c>
      <c r="AG34" s="629">
        <f t="shared" si="351"/>
        <v>0</v>
      </c>
      <c r="AH34" s="627">
        <f t="shared" ref="AH34:AJ34" si="352">SUM(AH32:AH33)</f>
        <v>0</v>
      </c>
      <c r="AI34" s="478">
        <f t="shared" si="352"/>
        <v>3272963952.2599998</v>
      </c>
      <c r="AJ34" s="478">
        <f t="shared" si="352"/>
        <v>856654897.81000018</v>
      </c>
      <c r="AK34" s="478">
        <f t="shared" ref="AK34" si="353">SUM(AK32:AK33)</f>
        <v>0</v>
      </c>
      <c r="AL34" s="472">
        <f>SUM(AL32:AL33)</f>
        <v>0</v>
      </c>
      <c r="AM34" s="472">
        <f>SUM(AM32:AM33)</f>
        <v>0</v>
      </c>
      <c r="AN34" s="631">
        <f t="shared" ref="AN34" si="354">SUM(AN32:AN33)</f>
        <v>0</v>
      </c>
      <c r="AO34" s="472">
        <f>SUM(AO32:AO33)</f>
        <v>0</v>
      </c>
      <c r="AP34" s="478">
        <f t="shared" ref="AP34" si="355">SUM(AP32:AP33)</f>
        <v>0</v>
      </c>
      <c r="AQ34" s="475">
        <f>SUM(AQ32:AQ33)</f>
        <v>0</v>
      </c>
      <c r="AR34" s="475">
        <f>SUM(AR32:AR33)</f>
        <v>0</v>
      </c>
      <c r="AS34" s="475">
        <f t="shared" ref="AS34" si="356">SUM(AS32:AS33)</f>
        <v>0</v>
      </c>
      <c r="AT34" s="475">
        <f>SUM(AT32:AT33)</f>
        <v>0</v>
      </c>
      <c r="AU34" s="478">
        <f t="shared" ref="AU34" si="357">SUM(AU32:AU33)</f>
        <v>0</v>
      </c>
      <c r="AV34" s="475">
        <f>SUM(AV32:AV33)</f>
        <v>0</v>
      </c>
      <c r="AW34" s="472">
        <f>SUM(AW32:AW33)</f>
        <v>0</v>
      </c>
      <c r="AX34" s="472">
        <f>SUM(AX32:AX33)</f>
        <v>0</v>
      </c>
      <c r="AY34" s="478">
        <f t="shared" ref="AY34" si="358">SUM(AY32:AY33)</f>
        <v>0</v>
      </c>
      <c r="AZ34" s="475">
        <f>SUM(AZ32:AZ33)</f>
        <v>0</v>
      </c>
      <c r="BA34" s="475">
        <f>SUM(BA32:BA33)</f>
        <v>0</v>
      </c>
      <c r="BB34" s="632">
        <f>SUM(BB32:BB33)</f>
        <v>0</v>
      </c>
      <c r="BC34" s="619">
        <f t="shared" ref="BC34" si="359">SUM(BC32:BC33)</f>
        <v>0</v>
      </c>
      <c r="BD34" s="632">
        <f>SUM(BD32:BD33)</f>
        <v>0</v>
      </c>
      <c r="BE34" s="621">
        <f>SUM(BE32:BE33)</f>
        <v>0</v>
      </c>
      <c r="BF34" s="475">
        <f>SUM(BF32:BF33)</f>
        <v>0</v>
      </c>
      <c r="BG34" s="692">
        <f t="shared" ref="BG34" si="360">SUM(BG32:BG33)</f>
        <v>0</v>
      </c>
      <c r="BH34" s="475">
        <f>SUM(BH32:BH33)</f>
        <v>0</v>
      </c>
      <c r="BI34" s="631">
        <f>SUM(BI32:BI33)</f>
        <v>0</v>
      </c>
      <c r="BJ34" s="475">
        <f>SUM(BJ32:BJ33)</f>
        <v>0</v>
      </c>
      <c r="BK34" s="619">
        <f t="shared" ref="BK34" si="361">SUM(BK32:BK33)</f>
        <v>0</v>
      </c>
      <c r="BL34" s="632">
        <f>SUM(BL32:BL33)</f>
        <v>0</v>
      </c>
      <c r="BM34" s="472">
        <f>SUM(BM32:BM33)</f>
        <v>0</v>
      </c>
      <c r="BN34" s="632">
        <f>SUM(BN32:BN33)</f>
        <v>0</v>
      </c>
      <c r="BO34" s="619">
        <f t="shared" ref="BO34" si="362">SUM(BO32:BO33)</f>
        <v>0</v>
      </c>
      <c r="BP34" s="632">
        <f>SUM(BP32:BP33)</f>
        <v>0</v>
      </c>
      <c r="BQ34" s="475">
        <f>SUM(BQ32:BQ33)</f>
        <v>0</v>
      </c>
      <c r="BR34" s="632">
        <f>SUM(BR32:BR33)</f>
        <v>0</v>
      </c>
      <c r="BS34" s="347">
        <f t="shared" ref="BS34:CI34" si="363">SUM(BS32:BS33)</f>
        <v>652214700</v>
      </c>
      <c r="BT34" s="475">
        <f t="shared" si="363"/>
        <v>17541200</v>
      </c>
      <c r="BU34" s="472">
        <f t="shared" si="363"/>
        <v>44792800</v>
      </c>
      <c r="BV34" s="472">
        <f>SUM(BV32:BV33)</f>
        <v>589880700</v>
      </c>
      <c r="BW34" s="347">
        <f t="shared" ref="BW34" si="364">SUM(BW32:BW33)</f>
        <v>52359301.120000005</v>
      </c>
      <c r="BX34" s="630">
        <f t="shared" si="363"/>
        <v>0</v>
      </c>
      <c r="BY34" s="475">
        <f t="shared" si="363"/>
        <v>0</v>
      </c>
      <c r="BZ34" s="472">
        <f>SUM(BZ32:BZ33)</f>
        <v>52359301.120000005</v>
      </c>
      <c r="CA34" s="347">
        <f t="shared" ref="CA34" si="365">SUM(CA32:CA33)</f>
        <v>0</v>
      </c>
      <c r="CB34" s="475">
        <f t="shared" si="363"/>
        <v>0</v>
      </c>
      <c r="CC34" s="475">
        <f t="shared" si="363"/>
        <v>0</v>
      </c>
      <c r="CD34" s="472">
        <f>SUM(CD32:CD33)</f>
        <v>0</v>
      </c>
      <c r="CE34" s="347">
        <f t="shared" ref="CE34" si="366">SUM(CE32:CE33)</f>
        <v>0</v>
      </c>
      <c r="CF34" s="475">
        <f t="shared" si="363"/>
        <v>0</v>
      </c>
      <c r="CG34" s="632">
        <f t="shared" si="363"/>
        <v>0</v>
      </c>
      <c r="CH34" s="472">
        <f>SUM(CH32:CH33)</f>
        <v>0</v>
      </c>
      <c r="CI34" s="627">
        <f t="shared" si="363"/>
        <v>0</v>
      </c>
      <c r="CJ34" s="627">
        <f t="shared" ref="CJ34:DS34" si="367">SUM(CJ32:CJ33)</f>
        <v>0</v>
      </c>
      <c r="CK34" s="627">
        <f t="shared" si="367"/>
        <v>0</v>
      </c>
      <c r="CL34" s="1206">
        <f t="shared" si="367"/>
        <v>0</v>
      </c>
      <c r="CM34" s="451">
        <f t="shared" ref="CM34:CP34" si="368">SUM(CM32:CM33)</f>
        <v>711188.46</v>
      </c>
      <c r="CN34" s="707">
        <f t="shared" si="368"/>
        <v>711188.46</v>
      </c>
      <c r="CO34" s="451">
        <f t="shared" si="368"/>
        <v>711188.46</v>
      </c>
      <c r="CP34" s="707">
        <f t="shared" si="368"/>
        <v>711188.46</v>
      </c>
      <c r="CQ34" s="635">
        <f t="shared" si="367"/>
        <v>400114625.63999999</v>
      </c>
      <c r="CR34" s="635">
        <f t="shared" si="367"/>
        <v>257442496</v>
      </c>
      <c r="CS34" s="521">
        <f t="shared" si="367"/>
        <v>0</v>
      </c>
      <c r="CT34" s="451">
        <f t="shared" si="367"/>
        <v>0</v>
      </c>
      <c r="CU34" s="629">
        <f t="shared" si="367"/>
        <v>0</v>
      </c>
      <c r="CV34" s="591">
        <f t="shared" si="367"/>
        <v>0</v>
      </c>
      <c r="CW34" s="629">
        <f t="shared" si="367"/>
        <v>0</v>
      </c>
      <c r="CX34" s="591">
        <f t="shared" si="367"/>
        <v>0</v>
      </c>
      <c r="CY34" s="633">
        <f t="shared" si="367"/>
        <v>83518976.539999992</v>
      </c>
      <c r="CZ34" s="451">
        <f t="shared" si="367"/>
        <v>32287698.670000002</v>
      </c>
      <c r="DA34" s="633">
        <f t="shared" si="367"/>
        <v>0</v>
      </c>
      <c r="DB34" s="451">
        <f t="shared" si="367"/>
        <v>0</v>
      </c>
      <c r="DC34" s="634">
        <f t="shared" si="367"/>
        <v>0</v>
      </c>
      <c r="DD34" s="591">
        <f t="shared" si="367"/>
        <v>0</v>
      </c>
      <c r="DE34" s="634">
        <f t="shared" si="367"/>
        <v>0</v>
      </c>
      <c r="DF34" s="591">
        <f t="shared" si="367"/>
        <v>0</v>
      </c>
      <c r="DG34" s="478">
        <f t="shared" ref="DG34:DL34" si="369">SUM(DG32:DG33)</f>
        <v>624092893.42999995</v>
      </c>
      <c r="DH34" s="475">
        <f t="shared" si="369"/>
        <v>12867893.43</v>
      </c>
      <c r="DI34" s="805">
        <f t="shared" si="369"/>
        <v>611225000</v>
      </c>
      <c r="DJ34" s="451">
        <f t="shared" si="369"/>
        <v>135026743.69</v>
      </c>
      <c r="DK34" s="632">
        <f t="shared" si="369"/>
        <v>2784056.3</v>
      </c>
      <c r="DL34" s="709">
        <f t="shared" si="369"/>
        <v>132242687.39</v>
      </c>
      <c r="DM34" s="633">
        <f t="shared" si="367"/>
        <v>15000000</v>
      </c>
      <c r="DN34" s="674">
        <f t="shared" si="367"/>
        <v>7000000</v>
      </c>
      <c r="DO34" s="630">
        <f t="shared" si="367"/>
        <v>0</v>
      </c>
      <c r="DP34" s="709">
        <f t="shared" si="367"/>
        <v>0</v>
      </c>
      <c r="DQ34" s="632">
        <f t="shared" si="367"/>
        <v>0</v>
      </c>
      <c r="DR34" s="709">
        <f t="shared" si="367"/>
        <v>0</v>
      </c>
      <c r="DS34" s="798">
        <f t="shared" si="367"/>
        <v>8000000</v>
      </c>
      <c r="DT34" s="674">
        <f t="shared" ref="DT34:EB34" si="370">SUM(DT32:DT33)</f>
        <v>0</v>
      </c>
      <c r="DU34" s="451">
        <f t="shared" si="370"/>
        <v>59633.26</v>
      </c>
      <c r="DV34" s="798">
        <f t="shared" si="370"/>
        <v>0</v>
      </c>
      <c r="DW34" s="630">
        <f t="shared" si="370"/>
        <v>0</v>
      </c>
      <c r="DX34" s="709">
        <f t="shared" si="370"/>
        <v>0</v>
      </c>
      <c r="DY34" s="630">
        <f t="shared" si="370"/>
        <v>0</v>
      </c>
      <c r="DZ34" s="709">
        <f t="shared" si="370"/>
        <v>0</v>
      </c>
      <c r="EA34" s="799">
        <f t="shared" si="370"/>
        <v>59633.26</v>
      </c>
      <c r="EB34" s="687">
        <f t="shared" si="370"/>
        <v>0</v>
      </c>
      <c r="EC34" s="478">
        <f t="shared" ref="EC34:EH34" si="371">SUM(EC32:EC33)</f>
        <v>0</v>
      </c>
      <c r="ED34" s="475">
        <f t="shared" si="371"/>
        <v>0</v>
      </c>
      <c r="EE34" s="805">
        <f t="shared" si="371"/>
        <v>0</v>
      </c>
      <c r="EF34" s="451">
        <f t="shared" si="371"/>
        <v>0</v>
      </c>
      <c r="EG34" s="632">
        <f t="shared" si="371"/>
        <v>0</v>
      </c>
      <c r="EH34" s="709">
        <f t="shared" si="371"/>
        <v>0</v>
      </c>
      <c r="EI34" s="585">
        <f t="shared" ref="EI34:FD34" si="372">SUM(EI32:EI33)</f>
        <v>0</v>
      </c>
      <c r="EJ34" s="630">
        <f t="shared" si="372"/>
        <v>0</v>
      </c>
      <c r="EK34" s="709">
        <f t="shared" si="372"/>
        <v>0</v>
      </c>
      <c r="EL34" s="630">
        <f t="shared" si="372"/>
        <v>0</v>
      </c>
      <c r="EM34" s="707">
        <f t="shared" si="372"/>
        <v>0</v>
      </c>
      <c r="EN34" s="585">
        <f t="shared" si="372"/>
        <v>0</v>
      </c>
      <c r="EO34" s="630">
        <f t="shared" si="372"/>
        <v>0</v>
      </c>
      <c r="EP34" s="709">
        <f t="shared" si="372"/>
        <v>0</v>
      </c>
      <c r="EQ34" s="630">
        <f t="shared" si="372"/>
        <v>0</v>
      </c>
      <c r="ER34" s="709">
        <f t="shared" si="372"/>
        <v>0</v>
      </c>
      <c r="ES34" s="478">
        <f t="shared" ref="ES34:EV34" si="373">SUM(ES32:ES33)</f>
        <v>25526315.789999999</v>
      </c>
      <c r="ET34" s="475">
        <f t="shared" ref="ET34" si="374">SUM(ET32:ET33)</f>
        <v>526315.79</v>
      </c>
      <c r="EU34" s="709">
        <f t="shared" ref="EU34" si="375">SUM(EU32:EU33)</f>
        <v>25000000</v>
      </c>
      <c r="EV34" s="451">
        <f t="shared" si="373"/>
        <v>1400000</v>
      </c>
      <c r="EW34" s="632">
        <f t="shared" ref="EW34" si="376">SUM(EW32:EW33)</f>
        <v>28865.98</v>
      </c>
      <c r="EX34" s="709">
        <f t="shared" ref="EX34" si="377">SUM(EX32:EX33)</f>
        <v>1371134.02</v>
      </c>
      <c r="EY34" s="478">
        <f t="shared" si="372"/>
        <v>0</v>
      </c>
      <c r="EZ34" s="475">
        <f t="shared" si="372"/>
        <v>0</v>
      </c>
      <c r="FA34" s="805">
        <f t="shared" si="372"/>
        <v>0</v>
      </c>
      <c r="FB34" s="451">
        <f t="shared" si="372"/>
        <v>0</v>
      </c>
      <c r="FC34" s="632">
        <f t="shared" si="372"/>
        <v>0</v>
      </c>
      <c r="FD34" s="709">
        <f t="shared" si="372"/>
        <v>0</v>
      </c>
      <c r="FE34" s="478">
        <f t="shared" ref="FE34:FJ34" si="378">SUM(FE32:FE33)</f>
        <v>478686634.18000001</v>
      </c>
      <c r="FF34" s="475">
        <f t="shared" si="378"/>
        <v>23934334.18</v>
      </c>
      <c r="FG34" s="805">
        <f t="shared" si="378"/>
        <v>454752300</v>
      </c>
      <c r="FH34" s="451">
        <f t="shared" si="378"/>
        <v>153446533.38</v>
      </c>
      <c r="FI34" s="632">
        <f t="shared" si="378"/>
        <v>7672327.46</v>
      </c>
      <c r="FJ34" s="709">
        <f t="shared" si="378"/>
        <v>145774205.91999999</v>
      </c>
      <c r="FK34" s="478">
        <f t="shared" ref="FK34:HV34" si="379">SUM(FK32:FK33)</f>
        <v>16238050</v>
      </c>
      <c r="FL34" s="475">
        <f t="shared" si="379"/>
        <v>16238050</v>
      </c>
      <c r="FM34" s="805">
        <f t="shared" si="379"/>
        <v>0</v>
      </c>
      <c r="FN34" s="451">
        <f t="shared" si="379"/>
        <v>0</v>
      </c>
      <c r="FO34" s="632">
        <f t="shared" si="379"/>
        <v>0</v>
      </c>
      <c r="FP34" s="709">
        <f t="shared" si="379"/>
        <v>0</v>
      </c>
      <c r="FQ34" s="478">
        <f t="shared" ref="FQ34:FV34" si="380">SUM(FQ32:FQ33)</f>
        <v>0</v>
      </c>
      <c r="FR34" s="475">
        <f t="shared" si="380"/>
        <v>0</v>
      </c>
      <c r="FS34" s="805">
        <f t="shared" si="380"/>
        <v>0</v>
      </c>
      <c r="FT34" s="451">
        <f t="shared" si="380"/>
        <v>0</v>
      </c>
      <c r="FU34" s="632">
        <f t="shared" si="380"/>
        <v>0</v>
      </c>
      <c r="FV34" s="709">
        <f t="shared" si="380"/>
        <v>0</v>
      </c>
      <c r="FW34" s="692">
        <f t="shared" ref="FW34:FX34" si="381">SUM(FW32:FW33)</f>
        <v>0</v>
      </c>
      <c r="FX34" s="619">
        <f t="shared" si="381"/>
        <v>0</v>
      </c>
      <c r="FY34" s="692">
        <f t="shared" ref="FY34:GF34" si="382">SUM(FY32:FY33)</f>
        <v>0</v>
      </c>
      <c r="FZ34" s="619">
        <f t="shared" si="382"/>
        <v>0</v>
      </c>
      <c r="GA34" s="478">
        <f t="shared" si="382"/>
        <v>0</v>
      </c>
      <c r="GB34" s="475">
        <f t="shared" si="382"/>
        <v>0</v>
      </c>
      <c r="GC34" s="743">
        <f t="shared" si="382"/>
        <v>0</v>
      </c>
      <c r="GD34" s="478">
        <f t="shared" ref="GD34" si="383">SUM(GD32:GD33)</f>
        <v>0</v>
      </c>
      <c r="GE34" s="475">
        <f t="shared" si="382"/>
        <v>0</v>
      </c>
      <c r="GF34" s="743">
        <f t="shared" si="382"/>
        <v>0</v>
      </c>
      <c r="GG34" s="478">
        <f t="shared" si="379"/>
        <v>3149425.85</v>
      </c>
      <c r="GH34" s="475">
        <f t="shared" si="379"/>
        <v>0</v>
      </c>
      <c r="GI34" s="743">
        <f t="shared" si="379"/>
        <v>0</v>
      </c>
      <c r="GJ34" s="475">
        <f t="shared" si="379"/>
        <v>1848458.6</v>
      </c>
      <c r="GK34" s="805">
        <f t="shared" si="379"/>
        <v>1300967.25</v>
      </c>
      <c r="GL34" s="451">
        <f t="shared" si="379"/>
        <v>275559.09999999998</v>
      </c>
      <c r="GM34" s="475">
        <f t="shared" si="379"/>
        <v>0</v>
      </c>
      <c r="GN34" s="743">
        <f t="shared" si="379"/>
        <v>0</v>
      </c>
      <c r="GO34" s="475">
        <f t="shared" si="379"/>
        <v>161730.94</v>
      </c>
      <c r="GP34" s="743">
        <f t="shared" si="379"/>
        <v>113828.16</v>
      </c>
      <c r="GQ34" s="451">
        <f t="shared" ref="GQ34" si="384">SUM(GQ32:GQ33)</f>
        <v>0</v>
      </c>
      <c r="GR34" s="475">
        <f t="shared" si="379"/>
        <v>0</v>
      </c>
      <c r="GS34" s="743">
        <f t="shared" si="379"/>
        <v>0</v>
      </c>
      <c r="GT34" s="475">
        <f t="shared" si="379"/>
        <v>0</v>
      </c>
      <c r="GU34" s="805">
        <f t="shared" si="379"/>
        <v>0</v>
      </c>
      <c r="GV34" s="451">
        <f t="shared" si="379"/>
        <v>0</v>
      </c>
      <c r="GW34" s="475">
        <f t="shared" si="379"/>
        <v>0</v>
      </c>
      <c r="GX34" s="743">
        <f t="shared" si="379"/>
        <v>0</v>
      </c>
      <c r="GY34" s="475">
        <f t="shared" si="379"/>
        <v>0</v>
      </c>
      <c r="GZ34" s="743">
        <f t="shared" si="379"/>
        <v>0</v>
      </c>
      <c r="HA34" s="692">
        <f t="shared" si="379"/>
        <v>0</v>
      </c>
      <c r="HB34" s="475">
        <f t="shared" ref="HB34:HC34" si="385">SUM(HB32:HB33)</f>
        <v>0</v>
      </c>
      <c r="HC34" s="805">
        <f t="shared" si="385"/>
        <v>0</v>
      </c>
      <c r="HD34" s="475">
        <f t="shared" si="379"/>
        <v>0</v>
      </c>
      <c r="HE34" s="805">
        <f t="shared" si="379"/>
        <v>0</v>
      </c>
      <c r="HF34" s="692">
        <f t="shared" ref="HF34:HH34" si="386">SUM(HF32:HF33)</f>
        <v>0</v>
      </c>
      <c r="HG34" s="475">
        <f t="shared" si="386"/>
        <v>0</v>
      </c>
      <c r="HH34" s="805">
        <f t="shared" si="386"/>
        <v>0</v>
      </c>
      <c r="HI34" s="475">
        <f t="shared" si="379"/>
        <v>0</v>
      </c>
      <c r="HJ34" s="743">
        <f t="shared" si="379"/>
        <v>0</v>
      </c>
      <c r="HK34" s="692">
        <f t="shared" ref="HK34" si="387">SUM(HK32:HK33)</f>
        <v>0</v>
      </c>
      <c r="HL34" s="475">
        <f t="shared" si="379"/>
        <v>0</v>
      </c>
      <c r="HM34" s="743">
        <f t="shared" si="379"/>
        <v>0</v>
      </c>
      <c r="HN34" s="475">
        <f t="shared" si="379"/>
        <v>0</v>
      </c>
      <c r="HO34" s="805">
        <f t="shared" si="379"/>
        <v>0</v>
      </c>
      <c r="HP34" s="692">
        <f t="shared" ref="HP34" si="388">SUM(HP32:HP33)</f>
        <v>0</v>
      </c>
      <c r="HQ34" s="475">
        <f t="shared" ref="HQ34:HR34" si="389">SUM(HQ32:HQ33)</f>
        <v>0</v>
      </c>
      <c r="HR34" s="743">
        <f t="shared" si="389"/>
        <v>0</v>
      </c>
      <c r="HS34" s="475">
        <f t="shared" si="379"/>
        <v>0</v>
      </c>
      <c r="HT34" s="743">
        <f t="shared" si="379"/>
        <v>0</v>
      </c>
      <c r="HU34" s="478">
        <f t="shared" si="379"/>
        <v>0</v>
      </c>
      <c r="HV34" s="685">
        <f t="shared" si="379"/>
        <v>0</v>
      </c>
      <c r="HW34" s="817">
        <f t="shared" ref="HW34:IB34" si="390">SUM(HW32:HW33)</f>
        <v>0</v>
      </c>
      <c r="HX34" s="451">
        <f t="shared" si="390"/>
        <v>0</v>
      </c>
      <c r="HY34" s="687">
        <f t="shared" si="390"/>
        <v>0</v>
      </c>
      <c r="HZ34" s="709">
        <f t="shared" si="390"/>
        <v>0</v>
      </c>
      <c r="IA34" s="478">
        <f t="shared" si="390"/>
        <v>33925600</v>
      </c>
      <c r="IB34" s="685">
        <f t="shared" si="390"/>
        <v>9499192.7100000009</v>
      </c>
      <c r="IC34" s="817">
        <f t="shared" ref="IC34:IF34" si="391">SUM(IC32:IC33)</f>
        <v>24426407.289999999</v>
      </c>
      <c r="ID34" s="451">
        <f t="shared" si="391"/>
        <v>0</v>
      </c>
      <c r="IE34" s="687">
        <f t="shared" si="391"/>
        <v>0</v>
      </c>
      <c r="IF34" s="709">
        <f t="shared" si="391"/>
        <v>0</v>
      </c>
      <c r="IG34" s="478">
        <f t="shared" ref="IG34:IL34" si="392">SUM(IG32:IG33)</f>
        <v>5672500</v>
      </c>
      <c r="IH34" s="685">
        <f t="shared" si="392"/>
        <v>1588500</v>
      </c>
      <c r="II34" s="817">
        <f t="shared" si="392"/>
        <v>4084000</v>
      </c>
      <c r="IJ34" s="451">
        <f t="shared" si="392"/>
        <v>3566912.97</v>
      </c>
      <c r="IK34" s="687">
        <f t="shared" si="392"/>
        <v>998861.39</v>
      </c>
      <c r="IL34" s="709">
        <f t="shared" si="392"/>
        <v>2568051.58</v>
      </c>
      <c r="IM34" s="633">
        <f t="shared" ref="IM34:JQ34" si="393">SUM(IM32:IM33)</f>
        <v>0</v>
      </c>
      <c r="IN34" s="687">
        <f t="shared" si="393"/>
        <v>0</v>
      </c>
      <c r="IO34" s="709">
        <f t="shared" si="393"/>
        <v>0</v>
      </c>
      <c r="IP34" s="451">
        <f t="shared" si="393"/>
        <v>0</v>
      </c>
      <c r="IQ34" s="811">
        <f t="shared" si="393"/>
        <v>0</v>
      </c>
      <c r="IR34" s="707">
        <f t="shared" si="393"/>
        <v>0</v>
      </c>
      <c r="IS34" s="451">
        <f t="shared" si="393"/>
        <v>0</v>
      </c>
      <c r="IT34" s="798">
        <f t="shared" si="393"/>
        <v>0</v>
      </c>
      <c r="IU34" s="709">
        <f t="shared" si="393"/>
        <v>0</v>
      </c>
      <c r="IV34" s="451">
        <f t="shared" si="393"/>
        <v>0</v>
      </c>
      <c r="IW34" s="674">
        <f t="shared" si="393"/>
        <v>0</v>
      </c>
      <c r="IX34" s="709">
        <f t="shared" si="393"/>
        <v>0</v>
      </c>
      <c r="IY34" s="619">
        <f t="shared" si="393"/>
        <v>0</v>
      </c>
      <c r="IZ34" s="799">
        <f t="shared" si="393"/>
        <v>0</v>
      </c>
      <c r="JA34" s="707">
        <f t="shared" si="393"/>
        <v>0</v>
      </c>
      <c r="JB34" s="693">
        <f t="shared" si="393"/>
        <v>0</v>
      </c>
      <c r="JC34" s="685">
        <f t="shared" si="393"/>
        <v>0</v>
      </c>
      <c r="JD34" s="805">
        <f t="shared" si="393"/>
        <v>0</v>
      </c>
      <c r="JE34" s="619">
        <f t="shared" si="393"/>
        <v>0</v>
      </c>
      <c r="JF34" s="799">
        <f t="shared" si="393"/>
        <v>0</v>
      </c>
      <c r="JG34" s="707">
        <f t="shared" si="393"/>
        <v>0</v>
      </c>
      <c r="JH34" s="619">
        <f t="shared" si="393"/>
        <v>0</v>
      </c>
      <c r="JI34" s="811">
        <f t="shared" si="393"/>
        <v>0</v>
      </c>
      <c r="JJ34" s="707">
        <f t="shared" si="393"/>
        <v>0</v>
      </c>
      <c r="JK34" s="451">
        <f t="shared" si="393"/>
        <v>0</v>
      </c>
      <c r="JL34" s="475">
        <f>SUM(JL32:JL33)</f>
        <v>0</v>
      </c>
      <c r="JM34" s="743">
        <f>SUM(JM32:JM33)</f>
        <v>0</v>
      </c>
      <c r="JN34" s="451">
        <f t="shared" ref="JN34" si="394">SUM(JN32:JN33)</f>
        <v>0</v>
      </c>
      <c r="JO34" s="475">
        <f>SUM(JO32:JO33)</f>
        <v>0</v>
      </c>
      <c r="JP34" s="743">
        <f>SUM(JP32:JP33)</f>
        <v>0</v>
      </c>
      <c r="JQ34" s="519">
        <f t="shared" si="393"/>
        <v>0</v>
      </c>
      <c r="JR34" s="475">
        <f>SUM(JR32:JR33)</f>
        <v>0</v>
      </c>
      <c r="JS34" s="743">
        <f>SUM(JS32:JS33)</f>
        <v>0</v>
      </c>
      <c r="JT34" s="674">
        <f t="shared" ref="JT34:KE34" si="395">SUM(JT32:JT33)</f>
        <v>0</v>
      </c>
      <c r="JU34" s="816">
        <f t="shared" si="395"/>
        <v>0</v>
      </c>
      <c r="JV34" s="347">
        <f t="shared" si="395"/>
        <v>0</v>
      </c>
      <c r="JW34" s="475">
        <f>SUM(JW32:JW33)</f>
        <v>0</v>
      </c>
      <c r="JX34" s="743">
        <f>SUM(JX32:JX33)</f>
        <v>0</v>
      </c>
      <c r="JY34" s="475">
        <f t="shared" si="395"/>
        <v>0</v>
      </c>
      <c r="JZ34" s="743">
        <f t="shared" si="395"/>
        <v>0</v>
      </c>
      <c r="KA34" s="347">
        <f t="shared" si="395"/>
        <v>0</v>
      </c>
      <c r="KB34" s="475">
        <f>SUM(KB32:KB33)</f>
        <v>0</v>
      </c>
      <c r="KC34" s="743">
        <f>SUM(KC32:KC33)</f>
        <v>0</v>
      </c>
      <c r="KD34" s="674">
        <f t="shared" si="395"/>
        <v>0</v>
      </c>
      <c r="KE34" s="805">
        <f t="shared" si="395"/>
        <v>0</v>
      </c>
      <c r="KF34" s="347">
        <f t="shared" ref="KF34:KU34" si="396">SUM(KF32:KF33)</f>
        <v>0</v>
      </c>
      <c r="KG34" s="475">
        <f t="shared" ref="KG34:KH34" si="397">SUM(KG32:KG33)</f>
        <v>0</v>
      </c>
      <c r="KH34" s="743">
        <f t="shared" si="397"/>
        <v>0</v>
      </c>
      <c r="KI34" s="632">
        <f t="shared" si="396"/>
        <v>0</v>
      </c>
      <c r="KJ34" s="709">
        <f t="shared" si="396"/>
        <v>0</v>
      </c>
      <c r="KK34" s="797">
        <f t="shared" si="396"/>
        <v>0</v>
      </c>
      <c r="KL34" s="475">
        <f>SUM(KL32:KL33)</f>
        <v>0</v>
      </c>
      <c r="KM34" s="743">
        <f>SUM(KM32:KM33)</f>
        <v>0</v>
      </c>
      <c r="KN34" s="799">
        <f t="shared" si="396"/>
        <v>0</v>
      </c>
      <c r="KO34" s="707">
        <f t="shared" si="396"/>
        <v>0</v>
      </c>
      <c r="KP34" s="797">
        <f t="shared" si="396"/>
        <v>0</v>
      </c>
      <c r="KQ34" s="475">
        <f>SUM(KQ32:KQ33)</f>
        <v>0</v>
      </c>
      <c r="KR34" s="743">
        <f>SUM(KR32:KR33)</f>
        <v>0</v>
      </c>
      <c r="KS34" s="685">
        <f t="shared" si="396"/>
        <v>0</v>
      </c>
      <c r="KT34" s="805">
        <f t="shared" si="396"/>
        <v>0</v>
      </c>
      <c r="KU34" s="627">
        <f t="shared" si="396"/>
        <v>0</v>
      </c>
      <c r="KV34" s="475">
        <f>SUM(KV32:KV33)</f>
        <v>0</v>
      </c>
      <c r="KW34" s="743">
        <f>SUM(KW32:KW33)</f>
        <v>0</v>
      </c>
      <c r="KX34" s="685">
        <f t="shared" ref="KX34:LD34" si="398">SUM(KX32:KX33)</f>
        <v>0</v>
      </c>
      <c r="KY34" s="805">
        <f t="shared" si="398"/>
        <v>0</v>
      </c>
      <c r="KZ34" s="627">
        <f t="shared" si="398"/>
        <v>0</v>
      </c>
      <c r="LA34" s="475">
        <f>SUM(LA32:LA33)</f>
        <v>0</v>
      </c>
      <c r="LB34" s="743">
        <f>SUM(LB32:LB33)</f>
        <v>0</v>
      </c>
      <c r="LC34" s="685">
        <f t="shared" si="398"/>
        <v>0</v>
      </c>
      <c r="LD34" s="805">
        <f t="shared" si="398"/>
        <v>0</v>
      </c>
      <c r="LE34" s="585">
        <f t="shared" ref="LE34:MM34" si="399">SUM(LE32:LE33)</f>
        <v>150329323.05000001</v>
      </c>
      <c r="LF34" s="472">
        <f>SUM(LF32:LF33)</f>
        <v>28464526.23</v>
      </c>
      <c r="LG34" s="743">
        <f t="shared" si="399"/>
        <v>73194500</v>
      </c>
      <c r="LH34" s="472">
        <f>SUM(LH32:LH33)</f>
        <v>13627696.82</v>
      </c>
      <c r="LI34" s="743">
        <f t="shared" ref="LI34" si="400">SUM(LI32:LI33)</f>
        <v>35042600</v>
      </c>
      <c r="LJ34" s="621">
        <f>SUM(LJ32:LJ33)</f>
        <v>0</v>
      </c>
      <c r="LK34" s="347">
        <f t="shared" ref="LK34" si="401">SUM(LK32:LK33)</f>
        <v>114247363.84</v>
      </c>
      <c r="LL34" s="472">
        <f t="shared" si="399"/>
        <v>28464526.23</v>
      </c>
      <c r="LM34" s="709">
        <f t="shared" si="399"/>
        <v>73194500</v>
      </c>
      <c r="LN34" s="472">
        <f t="shared" ref="LN34:LO34" si="402">SUM(LN32:LN33)</f>
        <v>3524738.08</v>
      </c>
      <c r="LO34" s="709">
        <f t="shared" si="402"/>
        <v>9063599.5299999993</v>
      </c>
      <c r="LP34" s="472">
        <f t="shared" ref="LP34" si="403">SUM(LP32:LP33)</f>
        <v>0</v>
      </c>
      <c r="LQ34" s="585">
        <f t="shared" si="399"/>
        <v>0</v>
      </c>
      <c r="LR34" s="472">
        <f>SUM(LR32:LR33)</f>
        <v>0</v>
      </c>
      <c r="LS34" s="621">
        <f t="shared" ref="LS34" si="404">SUM(LS32:LS33)</f>
        <v>0</v>
      </c>
      <c r="LT34" s="472">
        <f t="shared" si="399"/>
        <v>0</v>
      </c>
      <c r="LU34" s="707">
        <f t="shared" si="399"/>
        <v>0</v>
      </c>
      <c r="LV34" s="478">
        <f t="shared" si="399"/>
        <v>0</v>
      </c>
      <c r="LW34" s="475">
        <f>SUM(LW32:LW33)</f>
        <v>0</v>
      </c>
      <c r="LX34" s="687"/>
      <c r="LY34" s="630">
        <f t="shared" si="399"/>
        <v>0</v>
      </c>
      <c r="LZ34" s="709">
        <f t="shared" si="399"/>
        <v>0</v>
      </c>
      <c r="MA34" s="347">
        <f t="shared" si="399"/>
        <v>0</v>
      </c>
      <c r="MB34" s="472">
        <f t="shared" si="399"/>
        <v>0</v>
      </c>
      <c r="MC34" s="472">
        <f t="shared" si="399"/>
        <v>0</v>
      </c>
      <c r="MD34" s="707">
        <f t="shared" si="399"/>
        <v>0</v>
      </c>
      <c r="ME34" s="347">
        <f t="shared" si="399"/>
        <v>0</v>
      </c>
      <c r="MF34" s="685">
        <f t="shared" si="399"/>
        <v>0</v>
      </c>
      <c r="MG34" s="685">
        <f t="shared" si="399"/>
        <v>0</v>
      </c>
      <c r="MH34" s="707">
        <f t="shared" si="399"/>
        <v>0</v>
      </c>
      <c r="MI34" s="628">
        <f t="shared" si="399"/>
        <v>0</v>
      </c>
      <c r="MJ34" s="628">
        <f t="shared" si="399"/>
        <v>0</v>
      </c>
      <c r="MK34" s="928">
        <f t="shared" si="399"/>
        <v>0</v>
      </c>
      <c r="ML34" s="628">
        <f t="shared" si="399"/>
        <v>0</v>
      </c>
      <c r="MM34" s="451">
        <f t="shared" si="399"/>
        <v>238064736.84</v>
      </c>
      <c r="MN34" s="799">
        <f t="shared" ref="MN34:NB34" si="405">SUM(MN32:MN33)</f>
        <v>11608236.84</v>
      </c>
      <c r="MO34" s="707">
        <f t="shared" si="405"/>
        <v>220556500</v>
      </c>
      <c r="MP34" s="674">
        <f t="shared" si="405"/>
        <v>5900000</v>
      </c>
      <c r="MQ34" s="451">
        <f t="shared" ref="MQ34" si="406">SUM(MQ32:MQ33)</f>
        <v>33207001.859999999</v>
      </c>
      <c r="MR34" s="799">
        <f t="shared" si="405"/>
        <v>1365350.09</v>
      </c>
      <c r="MS34" s="707">
        <f t="shared" si="405"/>
        <v>25941651.77</v>
      </c>
      <c r="MT34" s="674">
        <f t="shared" si="405"/>
        <v>5900000</v>
      </c>
      <c r="MU34" s="451">
        <f t="shared" si="405"/>
        <v>0</v>
      </c>
      <c r="MV34" s="685">
        <f t="shared" si="405"/>
        <v>0</v>
      </c>
      <c r="MW34" s="805">
        <f t="shared" si="405"/>
        <v>0</v>
      </c>
      <c r="MX34" s="674">
        <f t="shared" si="405"/>
        <v>0</v>
      </c>
      <c r="MY34" s="451">
        <f t="shared" si="405"/>
        <v>0</v>
      </c>
      <c r="MZ34" s="685">
        <f t="shared" si="405"/>
        <v>0</v>
      </c>
      <c r="NA34" s="817">
        <f t="shared" si="405"/>
        <v>0</v>
      </c>
      <c r="NB34" s="674">
        <f t="shared" si="405"/>
        <v>0</v>
      </c>
      <c r="NC34" s="591">
        <f t="shared" ref="NC34:NR34" si="407">SUM(NC32:NC33)</f>
        <v>0</v>
      </c>
      <c r="ND34" s="799">
        <f t="shared" si="407"/>
        <v>0</v>
      </c>
      <c r="NE34" s="709">
        <f t="shared" si="407"/>
        <v>0</v>
      </c>
      <c r="NF34" s="674">
        <f t="shared" ref="NF34" si="408">SUM(NF32:NF33)</f>
        <v>0</v>
      </c>
      <c r="NG34" s="591">
        <f t="shared" si="407"/>
        <v>0</v>
      </c>
      <c r="NH34" s="799">
        <f t="shared" si="407"/>
        <v>0</v>
      </c>
      <c r="NI34" s="709">
        <f t="shared" si="407"/>
        <v>0</v>
      </c>
      <c r="NJ34" s="674">
        <f t="shared" ref="NJ34" si="409">SUM(NJ32:NJ33)</f>
        <v>0</v>
      </c>
      <c r="NK34" s="797">
        <f t="shared" si="407"/>
        <v>0</v>
      </c>
      <c r="NL34" s="685">
        <f t="shared" si="407"/>
        <v>0</v>
      </c>
      <c r="NM34" s="805">
        <f t="shared" si="407"/>
        <v>0</v>
      </c>
      <c r="NN34" s="685">
        <f t="shared" ref="NN34" si="410">SUM(NN32:NN33)</f>
        <v>0</v>
      </c>
      <c r="NO34" s="591">
        <f t="shared" si="407"/>
        <v>0</v>
      </c>
      <c r="NP34" s="799">
        <f t="shared" si="407"/>
        <v>0</v>
      </c>
      <c r="NQ34" s="707">
        <f t="shared" si="407"/>
        <v>0</v>
      </c>
      <c r="NR34" s="674">
        <f t="shared" si="407"/>
        <v>0</v>
      </c>
      <c r="NS34" s="347">
        <f t="shared" ref="NS34" si="411">SUM(NS32:NS33)</f>
        <v>0</v>
      </c>
      <c r="NT34" s="475">
        <f t="shared" ref="NT34:NV34" si="412">SUM(NT32:NT33)</f>
        <v>0</v>
      </c>
      <c r="NU34" s="743">
        <f t="shared" si="412"/>
        <v>0</v>
      </c>
      <c r="NV34" s="347">
        <f t="shared" si="412"/>
        <v>0</v>
      </c>
      <c r="NW34" s="475">
        <f>SUM(NW32:NW33)</f>
        <v>0</v>
      </c>
      <c r="NX34" s="743">
        <f>SUM(NX32:NX33)</f>
        <v>0</v>
      </c>
      <c r="NY34" s="347">
        <f t="shared" ref="NY34" si="413">SUM(NY32:NY33)</f>
        <v>0</v>
      </c>
      <c r="NZ34" s="475">
        <f>SUM(NZ32:NZ33)</f>
        <v>0</v>
      </c>
      <c r="OA34" s="743">
        <f>SUM(OA32:OA33)</f>
        <v>0</v>
      </c>
      <c r="OB34" s="475">
        <f t="shared" ref="OB34:OJ34" si="414">SUM(OB32:OB33)</f>
        <v>0</v>
      </c>
      <c r="OC34" s="743">
        <f t="shared" si="414"/>
        <v>0</v>
      </c>
      <c r="OD34" s="475">
        <f>SUM(OD32:OD33)</f>
        <v>0</v>
      </c>
      <c r="OE34" s="743">
        <f>SUM(OE32:OE33)</f>
        <v>0</v>
      </c>
      <c r="OF34" s="347">
        <f t="shared" ref="OF34" si="415">SUM(OF32:OF33)</f>
        <v>0</v>
      </c>
      <c r="OG34" s="475">
        <f>SUM(OG32:OG33)</f>
        <v>0</v>
      </c>
      <c r="OH34" s="743">
        <f>SUM(OH32:OH33)</f>
        <v>0</v>
      </c>
      <c r="OI34" s="475">
        <f t="shared" si="414"/>
        <v>0</v>
      </c>
      <c r="OJ34" s="743">
        <f t="shared" si="414"/>
        <v>0</v>
      </c>
      <c r="OK34" s="475">
        <f>SUM(OK32:OK33)</f>
        <v>0</v>
      </c>
      <c r="OL34" s="743">
        <f>SUM(OL32:OL33)</f>
        <v>0</v>
      </c>
      <c r="OM34" s="628">
        <f t="shared" ref="OM34" si="416">SUM(OM32:OM33)</f>
        <v>0</v>
      </c>
      <c r="ON34" s="475">
        <f>SUM(ON32:ON33)</f>
        <v>0</v>
      </c>
      <c r="OO34" s="743">
        <f>SUM(OO32:OO33)</f>
        <v>0</v>
      </c>
      <c r="OP34" s="475">
        <f t="shared" ref="OP34:OX34" si="417">SUM(OP32:OP33)</f>
        <v>0</v>
      </c>
      <c r="OQ34" s="743">
        <f t="shared" si="417"/>
        <v>0</v>
      </c>
      <c r="OR34" s="475">
        <f>SUM(OR32:OR33)</f>
        <v>0</v>
      </c>
      <c r="OS34" s="743">
        <f>SUM(OS32:OS33)</f>
        <v>0</v>
      </c>
      <c r="OT34" s="628">
        <f t="shared" ref="OT34" si="418">SUM(OT32:OT33)</f>
        <v>0</v>
      </c>
      <c r="OU34" s="475">
        <f t="shared" ref="OU34:OV34" si="419">SUM(OU32:OU33)</f>
        <v>0</v>
      </c>
      <c r="OV34" s="743">
        <f t="shared" si="419"/>
        <v>0</v>
      </c>
      <c r="OW34" s="475">
        <f t="shared" si="417"/>
        <v>0</v>
      </c>
      <c r="OX34" s="743">
        <f t="shared" si="417"/>
        <v>0</v>
      </c>
      <c r="OY34" s="475">
        <f>SUM(OY32:OY33)</f>
        <v>0</v>
      </c>
      <c r="OZ34" s="743">
        <f>SUM(OZ32:OZ33)</f>
        <v>0</v>
      </c>
      <c r="PA34" s="628">
        <f t="shared" ref="PA34" si="420">SUM(PA32:PA33)</f>
        <v>0</v>
      </c>
      <c r="PB34" s="475">
        <f>SUM(PB32:PB33)</f>
        <v>0</v>
      </c>
      <c r="PC34" s="743">
        <f>SUM(PC32:PC33)</f>
        <v>0</v>
      </c>
      <c r="PD34" s="475">
        <f t="shared" ref="PD34:PE34" si="421">SUM(PD32:PD33)</f>
        <v>0</v>
      </c>
      <c r="PE34" s="743">
        <f t="shared" si="421"/>
        <v>0</v>
      </c>
      <c r="PF34" s="475">
        <f>SUM(PF32:PF33)</f>
        <v>0</v>
      </c>
      <c r="PG34" s="743">
        <f>SUM(PG32:PG33)</f>
        <v>0</v>
      </c>
      <c r="PH34" s="628">
        <f t="shared" ref="PH34" si="422">SUM(PH32:PH33)</f>
        <v>0</v>
      </c>
      <c r="PI34" s="475">
        <f>SUM(PI32:PI33)</f>
        <v>0</v>
      </c>
      <c r="PJ34" s="743">
        <f>SUM(PJ32:PJ33)</f>
        <v>0</v>
      </c>
      <c r="PK34" s="475">
        <f t="shared" ref="PK34:PL34" si="423">SUM(PK32:PK33)</f>
        <v>0</v>
      </c>
      <c r="PL34" s="743">
        <f t="shared" si="423"/>
        <v>0</v>
      </c>
      <c r="PM34" s="475">
        <f>SUM(PM32:PM33)</f>
        <v>0</v>
      </c>
      <c r="PN34" s="743">
        <f>SUM(PN32:PN33)</f>
        <v>0</v>
      </c>
      <c r="PO34" s="478">
        <f t="shared" ref="PO34:PU34" si="424">SUM(PO32:PO33)</f>
        <v>114521875.79000001</v>
      </c>
      <c r="PP34" s="475">
        <f t="shared" si="424"/>
        <v>2361275.79</v>
      </c>
      <c r="PQ34" s="805">
        <f t="shared" si="424"/>
        <v>112160600</v>
      </c>
      <c r="PR34" s="451">
        <f t="shared" si="424"/>
        <v>32872646.16</v>
      </c>
      <c r="PS34" s="632">
        <f t="shared" si="424"/>
        <v>677786.53</v>
      </c>
      <c r="PT34" s="709">
        <f t="shared" si="424"/>
        <v>32194859.629999999</v>
      </c>
      <c r="PU34" s="585">
        <f t="shared" si="424"/>
        <v>0</v>
      </c>
      <c r="PV34" s="472">
        <f>SUM(PV32:PV33)</f>
        <v>0</v>
      </c>
      <c r="PW34" s="817">
        <f>SUM(PW32:PW33)</f>
        <v>0</v>
      </c>
      <c r="PX34" s="585">
        <f t="shared" ref="PX34" si="425">SUM(PX32:PX33)</f>
        <v>0</v>
      </c>
      <c r="PY34" s="630">
        <f>SUM(PY32:PY33)</f>
        <v>0</v>
      </c>
      <c r="PZ34" s="709">
        <f>SUM(PZ32:PZ33)</f>
        <v>0</v>
      </c>
      <c r="QA34" s="585">
        <f t="shared" ref="QA34" si="426">SUM(QA32:QA33)</f>
        <v>0</v>
      </c>
      <c r="QB34" s="630">
        <f t="shared" ref="QB34:QD34" si="427">SUM(QB32:QB33)</f>
        <v>0</v>
      </c>
      <c r="QC34" s="707">
        <f t="shared" si="427"/>
        <v>0</v>
      </c>
      <c r="QD34" s="585">
        <f t="shared" si="427"/>
        <v>0</v>
      </c>
      <c r="QE34" s="630">
        <f t="shared" ref="QE34:QG34" si="428">SUM(QE32:QE33)</f>
        <v>0</v>
      </c>
      <c r="QF34" s="709">
        <f t="shared" si="428"/>
        <v>0</v>
      </c>
      <c r="QG34" s="928">
        <f t="shared" si="428"/>
        <v>0</v>
      </c>
      <c r="QH34" s="475">
        <f t="shared" ref="QH34:QJ34" si="429">SUM(QH32:QH33)</f>
        <v>0</v>
      </c>
      <c r="QI34" s="743">
        <f t="shared" si="429"/>
        <v>0</v>
      </c>
      <c r="QJ34" s="928">
        <f t="shared" si="429"/>
        <v>0</v>
      </c>
      <c r="QK34" s="475">
        <f t="shared" ref="QK34:QM34" si="430">SUM(QK32:QK33)</f>
        <v>0</v>
      </c>
      <c r="QL34" s="743">
        <f t="shared" si="430"/>
        <v>0</v>
      </c>
      <c r="QM34" s="928">
        <f t="shared" si="430"/>
        <v>0</v>
      </c>
      <c r="QN34" s="674">
        <f>SUM(QN32:QN33)</f>
        <v>0</v>
      </c>
      <c r="QO34" s="805">
        <f>SUM(QO32:QO33)</f>
        <v>0</v>
      </c>
      <c r="QP34" s="928">
        <f t="shared" ref="QP34" si="431">SUM(QP32:QP33)</f>
        <v>0</v>
      </c>
      <c r="QQ34" s="630">
        <f t="shared" ref="QQ34:QR34" si="432">SUM(QQ32:QQ33)</f>
        <v>0</v>
      </c>
      <c r="QR34" s="709">
        <f t="shared" si="432"/>
        <v>0</v>
      </c>
      <c r="QS34" s="451">
        <f t="shared" ref="QS34:RN34" si="433">SUM(QS32:QS33)</f>
        <v>431197106.69</v>
      </c>
      <c r="QT34" s="451">
        <f t="shared" si="433"/>
        <v>39751819.299999997</v>
      </c>
      <c r="QU34" s="451">
        <f t="shared" si="433"/>
        <v>0</v>
      </c>
      <c r="QV34" s="451">
        <f t="shared" si="433"/>
        <v>0</v>
      </c>
      <c r="QW34" s="629">
        <f t="shared" si="433"/>
        <v>0</v>
      </c>
      <c r="QX34" s="627">
        <f t="shared" si="433"/>
        <v>0</v>
      </c>
      <c r="QY34" s="629">
        <f t="shared" si="433"/>
        <v>0</v>
      </c>
      <c r="QZ34" s="627">
        <f t="shared" si="433"/>
        <v>0</v>
      </c>
      <c r="RA34" s="451">
        <f t="shared" si="433"/>
        <v>5346723084</v>
      </c>
      <c r="RB34" s="630">
        <f t="shared" si="433"/>
        <v>5303020885</v>
      </c>
      <c r="RC34" s="475">
        <f t="shared" si="433"/>
        <v>43702199</v>
      </c>
      <c r="RD34" s="451">
        <f t="shared" si="433"/>
        <v>3056955472.8500004</v>
      </c>
      <c r="RE34" s="621">
        <f t="shared" si="433"/>
        <v>3030570930</v>
      </c>
      <c r="RF34" s="472">
        <f t="shared" si="433"/>
        <v>26384542.849999998</v>
      </c>
      <c r="RG34" s="451">
        <f t="shared" si="433"/>
        <v>5080136685</v>
      </c>
      <c r="RH34" s="478">
        <f t="shared" si="433"/>
        <v>2895460930</v>
      </c>
      <c r="RI34" s="478">
        <f t="shared" si="433"/>
        <v>123855600</v>
      </c>
      <c r="RJ34" s="451">
        <f t="shared" si="433"/>
        <v>59000000</v>
      </c>
      <c r="RK34" s="478">
        <f t="shared" si="433"/>
        <v>85781200</v>
      </c>
      <c r="RL34" s="451">
        <f t="shared" si="433"/>
        <v>66240000</v>
      </c>
      <c r="RM34" s="635">
        <f t="shared" si="433"/>
        <v>0</v>
      </c>
      <c r="RN34" s="451">
        <f t="shared" si="433"/>
        <v>0</v>
      </c>
      <c r="RO34" s="633">
        <f t="shared" ref="RO34:TD34" si="434">SUM(RO32:RO33)</f>
        <v>95800</v>
      </c>
      <c r="RP34" s="451">
        <f t="shared" si="434"/>
        <v>0</v>
      </c>
      <c r="RQ34" s="633">
        <f t="shared" si="434"/>
        <v>0</v>
      </c>
      <c r="RR34" s="451">
        <f t="shared" si="434"/>
        <v>0</v>
      </c>
      <c r="RS34" s="521">
        <f t="shared" si="434"/>
        <v>6430199.0000000009</v>
      </c>
      <c r="RT34" s="451">
        <f t="shared" si="434"/>
        <v>6068196</v>
      </c>
      <c r="RU34" s="521">
        <f t="shared" si="434"/>
        <v>11813200</v>
      </c>
      <c r="RV34" s="451">
        <f t="shared" si="434"/>
        <v>11462148</v>
      </c>
      <c r="RW34" s="521">
        <f t="shared" ref="RW34:RX34" si="435">SUM(RW32:RW33)</f>
        <v>0</v>
      </c>
      <c r="RX34" s="451">
        <f t="shared" si="435"/>
        <v>0</v>
      </c>
      <c r="RY34" s="478">
        <f t="shared" si="434"/>
        <v>38610400</v>
      </c>
      <c r="RZ34" s="472">
        <f t="shared" si="434"/>
        <v>13247400</v>
      </c>
      <c r="SA34" s="472">
        <f t="shared" ref="SA34" si="436">SUM(SA32:SA33)</f>
        <v>420000</v>
      </c>
      <c r="SB34" s="631">
        <f t="shared" si="434"/>
        <v>24943000</v>
      </c>
      <c r="SC34" s="451">
        <f t="shared" si="434"/>
        <v>18724198.850000001</v>
      </c>
      <c r="SD34" s="451">
        <f t="shared" si="434"/>
        <v>9870000</v>
      </c>
      <c r="SE34" s="478">
        <f t="shared" ref="SE34" si="437">SUM(SE32:SE33)</f>
        <v>0</v>
      </c>
      <c r="SF34" s="451">
        <f t="shared" si="434"/>
        <v>8854198.8499999996</v>
      </c>
      <c r="SG34" s="570">
        <f>SUM(SG32:SG33)</f>
        <v>1289252331.4400001</v>
      </c>
      <c r="SH34" s="566">
        <f>SUM(SH32:SH33)</f>
        <v>177625085.08000001</v>
      </c>
      <c r="SI34" s="478">
        <f t="shared" ref="SI34:SZ34" si="438">SUM(SI32:SI33)</f>
        <v>0</v>
      </c>
      <c r="SJ34" s="472">
        <f t="shared" si="438"/>
        <v>0</v>
      </c>
      <c r="SK34" s="817">
        <f t="shared" si="438"/>
        <v>0</v>
      </c>
      <c r="SL34" s="451">
        <f t="shared" si="438"/>
        <v>0</v>
      </c>
      <c r="SM34" s="472">
        <f t="shared" ref="SM34:SN34" si="439">SUM(SM32:SM33)</f>
        <v>0</v>
      </c>
      <c r="SN34" s="817">
        <f t="shared" si="439"/>
        <v>0</v>
      </c>
      <c r="SO34" s="566">
        <f t="shared" si="438"/>
        <v>240000000</v>
      </c>
      <c r="SP34" s="946">
        <f t="shared" si="438"/>
        <v>240000000</v>
      </c>
      <c r="SQ34" s="566">
        <f t="shared" si="438"/>
        <v>39903656.670000002</v>
      </c>
      <c r="SR34" s="1341">
        <f t="shared" si="438"/>
        <v>39903656.670000002</v>
      </c>
      <c r="SS34" s="956">
        <f t="shared" si="438"/>
        <v>0</v>
      </c>
      <c r="ST34" s="1341">
        <f t="shared" si="438"/>
        <v>0</v>
      </c>
      <c r="SU34" s="956">
        <f t="shared" si="438"/>
        <v>0</v>
      </c>
      <c r="SV34" s="1341">
        <f t="shared" si="438"/>
        <v>0</v>
      </c>
      <c r="SW34" s="958">
        <f t="shared" si="438"/>
        <v>0</v>
      </c>
      <c r="SX34" s="958">
        <f t="shared" si="438"/>
        <v>0</v>
      </c>
      <c r="SY34" s="958">
        <f t="shared" si="438"/>
        <v>0</v>
      </c>
      <c r="SZ34" s="958">
        <f t="shared" si="438"/>
        <v>0</v>
      </c>
      <c r="TA34" s="582">
        <f t="shared" si="434"/>
        <v>846087457</v>
      </c>
      <c r="TB34" s="707">
        <f t="shared" si="434"/>
        <v>846087457</v>
      </c>
      <c r="TC34" s="582">
        <f t="shared" si="434"/>
        <v>132619797.41000001</v>
      </c>
      <c r="TD34" s="707">
        <f t="shared" si="434"/>
        <v>132619797.41000001</v>
      </c>
      <c r="TE34" s="582">
        <f t="shared" ref="TE34:VL34" si="440">SUM(TE32:TE33)</f>
        <v>0</v>
      </c>
      <c r="TF34" s="707">
        <f t="shared" si="440"/>
        <v>0</v>
      </c>
      <c r="TG34" s="582">
        <f t="shared" si="440"/>
        <v>0</v>
      </c>
      <c r="TH34" s="707">
        <f t="shared" si="440"/>
        <v>0</v>
      </c>
      <c r="TI34" s="583">
        <f t="shared" si="440"/>
        <v>0</v>
      </c>
      <c r="TJ34" s="583">
        <f t="shared" si="440"/>
        <v>0</v>
      </c>
      <c r="TK34" s="583">
        <f t="shared" si="440"/>
        <v>0</v>
      </c>
      <c r="TL34" s="583">
        <f t="shared" si="440"/>
        <v>0</v>
      </c>
      <c r="TM34" s="582">
        <f t="shared" si="440"/>
        <v>120000000</v>
      </c>
      <c r="TN34" s="707">
        <f t="shared" si="440"/>
        <v>120000000</v>
      </c>
      <c r="TO34" s="566">
        <f t="shared" si="440"/>
        <v>0</v>
      </c>
      <c r="TP34" s="707">
        <f t="shared" si="440"/>
        <v>0</v>
      </c>
      <c r="TQ34" s="582">
        <f t="shared" ref="TQ34:TY34" si="441">SUM(TQ32:TQ33)</f>
        <v>0</v>
      </c>
      <c r="TR34" s="707">
        <f t="shared" si="441"/>
        <v>0</v>
      </c>
      <c r="TS34" s="566">
        <f t="shared" si="441"/>
        <v>0</v>
      </c>
      <c r="TT34" s="707">
        <f t="shared" si="441"/>
        <v>0</v>
      </c>
      <c r="TU34" s="583">
        <f t="shared" si="441"/>
        <v>0</v>
      </c>
      <c r="TV34" s="583">
        <f t="shared" si="441"/>
        <v>0</v>
      </c>
      <c r="TW34" s="583">
        <f t="shared" si="441"/>
        <v>0</v>
      </c>
      <c r="TX34" s="583">
        <f t="shared" si="441"/>
        <v>0</v>
      </c>
      <c r="TY34" s="582">
        <f t="shared" si="441"/>
        <v>71940000</v>
      </c>
      <c r="TZ34" s="581">
        <f t="shared" ref="TZ34:UB34" si="442">SUM(TZ32:TZ33)</f>
        <v>27440000</v>
      </c>
      <c r="UA34" s="947">
        <f t="shared" si="442"/>
        <v>44500000</v>
      </c>
      <c r="UB34" s="582">
        <f t="shared" si="442"/>
        <v>0</v>
      </c>
      <c r="UC34" s="581">
        <f t="shared" ref="UC34:UD34" si="443">SUM(UC32:UC33)</f>
        <v>0</v>
      </c>
      <c r="UD34" s="947">
        <f t="shared" si="443"/>
        <v>0</v>
      </c>
      <c r="UE34" s="582">
        <f t="shared" ref="UE34:UG34" si="444">SUM(UE32:UE33)</f>
        <v>0</v>
      </c>
      <c r="UF34" s="581">
        <f t="shared" si="444"/>
        <v>0</v>
      </c>
      <c r="UG34" s="947">
        <f t="shared" si="444"/>
        <v>0</v>
      </c>
      <c r="UH34" s="566">
        <f t="shared" ref="UH34:UJ34" si="445">SUM(UH32:UH33)</f>
        <v>0</v>
      </c>
      <c r="UI34" s="581">
        <f t="shared" si="445"/>
        <v>0</v>
      </c>
      <c r="UJ34" s="947">
        <f t="shared" si="445"/>
        <v>0</v>
      </c>
      <c r="UK34" s="958">
        <f t="shared" ref="UK34:UN34" si="446">SUM(UK32:UK33)</f>
        <v>0</v>
      </c>
      <c r="UL34" s="958">
        <f t="shared" si="446"/>
        <v>0</v>
      </c>
      <c r="UM34" s="958">
        <f t="shared" si="446"/>
        <v>0</v>
      </c>
      <c r="UN34" s="958">
        <f t="shared" si="446"/>
        <v>0</v>
      </c>
      <c r="UO34" s="347">
        <f t="shared" ref="UO34:UT34" si="447">SUM(UO32:UO33)</f>
        <v>1000000</v>
      </c>
      <c r="UP34" s="674">
        <f t="shared" si="447"/>
        <v>0</v>
      </c>
      <c r="UQ34" s="709">
        <f t="shared" si="447"/>
        <v>1000000</v>
      </c>
      <c r="UR34" s="347">
        <f t="shared" si="447"/>
        <v>1000000</v>
      </c>
      <c r="US34" s="674">
        <f t="shared" si="447"/>
        <v>0</v>
      </c>
      <c r="UT34" s="709">
        <f t="shared" si="447"/>
        <v>1000000</v>
      </c>
      <c r="UU34" s="347">
        <f t="shared" ref="UU34:UZ34" si="448">SUM(UU32:UU33)</f>
        <v>10000000</v>
      </c>
      <c r="UV34" s="674">
        <f t="shared" si="448"/>
        <v>0</v>
      </c>
      <c r="UW34" s="709">
        <f t="shared" si="448"/>
        <v>10000000</v>
      </c>
      <c r="UX34" s="347">
        <f t="shared" si="448"/>
        <v>3876756.56</v>
      </c>
      <c r="UY34" s="674">
        <f t="shared" si="448"/>
        <v>0</v>
      </c>
      <c r="UZ34" s="709">
        <f t="shared" si="448"/>
        <v>3876756.56</v>
      </c>
      <c r="VA34" s="582">
        <f t="shared" si="440"/>
        <v>224874.44</v>
      </c>
      <c r="VB34" s="581">
        <f>SUM(VB32:VB33)</f>
        <v>0</v>
      </c>
      <c r="VC34" s="947">
        <f>SUM(VC32:VC33)</f>
        <v>0</v>
      </c>
      <c r="VD34" s="581">
        <f>SUM(VD32:VD33)</f>
        <v>224874.44</v>
      </c>
      <c r="VE34" s="582">
        <f t="shared" ref="VE34" si="449">SUM(VE32:VE33)</f>
        <v>224874.44</v>
      </c>
      <c r="VF34" s="567">
        <f>SUM(VF32:VF33)</f>
        <v>0</v>
      </c>
      <c r="VG34" s="1341">
        <f>SUM(VG32:VG33)</f>
        <v>0</v>
      </c>
      <c r="VH34" s="567">
        <f>SUM(VH32:VH33)</f>
        <v>224874.44</v>
      </c>
      <c r="VI34" s="582">
        <f t="shared" si="440"/>
        <v>0</v>
      </c>
      <c r="VJ34" s="581">
        <f t="shared" si="440"/>
        <v>0</v>
      </c>
      <c r="VK34" s="582">
        <f t="shared" si="440"/>
        <v>0</v>
      </c>
      <c r="VL34" s="581">
        <f t="shared" si="440"/>
        <v>0</v>
      </c>
      <c r="VM34" s="958">
        <f t="shared" ref="VM34:WL34" si="450">SUM(VM32:VM33)</f>
        <v>0</v>
      </c>
      <c r="VN34" s="581">
        <f t="shared" si="450"/>
        <v>0</v>
      </c>
      <c r="VO34" s="958">
        <f t="shared" si="450"/>
        <v>0</v>
      </c>
      <c r="VP34" s="581">
        <f t="shared" si="450"/>
        <v>0</v>
      </c>
      <c r="VQ34" s="958">
        <f t="shared" si="450"/>
        <v>0</v>
      </c>
      <c r="VR34" s="581">
        <f t="shared" si="450"/>
        <v>0</v>
      </c>
      <c r="VS34" s="956">
        <f t="shared" si="450"/>
        <v>0</v>
      </c>
      <c r="VT34" s="581">
        <f t="shared" si="450"/>
        <v>0</v>
      </c>
      <c r="VU34" s="580">
        <f t="shared" si="450"/>
        <v>-261000000</v>
      </c>
      <c r="VV34" s="582">
        <f t="shared" si="450"/>
        <v>-99000000</v>
      </c>
      <c r="VW34" s="582">
        <f t="shared" si="450"/>
        <v>127300000</v>
      </c>
      <c r="VX34" s="582">
        <f t="shared" si="450"/>
        <v>0</v>
      </c>
      <c r="VY34" s="582">
        <f t="shared" si="450"/>
        <v>0</v>
      </c>
      <c r="VZ34" s="582">
        <f t="shared" si="450"/>
        <v>0</v>
      </c>
      <c r="WA34" s="583">
        <f t="shared" si="450"/>
        <v>0</v>
      </c>
      <c r="WB34" s="583">
        <f t="shared" si="450"/>
        <v>0</v>
      </c>
      <c r="WC34" s="583">
        <f t="shared" si="450"/>
        <v>0</v>
      </c>
      <c r="WD34" s="583">
        <f t="shared" si="450"/>
        <v>0</v>
      </c>
      <c r="WE34" s="582">
        <f t="shared" si="450"/>
        <v>-388300000</v>
      </c>
      <c r="WF34" s="582">
        <f t="shared" si="450"/>
        <v>-99000000</v>
      </c>
      <c r="WG34" s="582">
        <f t="shared" si="450"/>
        <v>0</v>
      </c>
      <c r="WH34" s="582">
        <f t="shared" si="450"/>
        <v>0</v>
      </c>
      <c r="WI34" s="583">
        <f t="shared" si="450"/>
        <v>0</v>
      </c>
      <c r="WJ34" s="583">
        <f t="shared" si="450"/>
        <v>0</v>
      </c>
      <c r="WK34" s="583">
        <f t="shared" si="450"/>
        <v>0</v>
      </c>
      <c r="WL34" s="583">
        <f t="shared" si="450"/>
        <v>0</v>
      </c>
      <c r="WM34" s="1547">
        <f>'План и исполнение'!WE34+'План и исполнение'!WG34</f>
        <v>-388300000</v>
      </c>
      <c r="WN34" s="1547">
        <f>'План и исполнение'!WF34+'План и исполнение'!WH34</f>
        <v>-99000000</v>
      </c>
    </row>
    <row r="35" spans="1:612" s="340" customFormat="1" ht="25.5" customHeight="1" x14ac:dyDescent="0.3">
      <c r="A35" s="355"/>
      <c r="B35" s="347"/>
      <c r="C35" s="347"/>
      <c r="D35" s="636"/>
      <c r="E35" s="637"/>
      <c r="F35" s="585"/>
      <c r="G35" s="347"/>
      <c r="H35" s="347"/>
      <c r="I35" s="347"/>
      <c r="J35" s="627"/>
      <c r="K35" s="627"/>
      <c r="L35" s="627"/>
      <c r="M35" s="627"/>
      <c r="N35" s="585"/>
      <c r="O35" s="347"/>
      <c r="P35" s="521"/>
      <c r="Q35" s="347"/>
      <c r="R35" s="629"/>
      <c r="S35" s="627"/>
      <c r="T35" s="629"/>
      <c r="U35" s="627"/>
      <c r="V35" s="347"/>
      <c r="W35" s="347"/>
      <c r="X35" s="654"/>
      <c r="Y35" s="475"/>
      <c r="Z35" s="475"/>
      <c r="AA35" s="347"/>
      <c r="AB35" s="347"/>
      <c r="AC35" s="630"/>
      <c r="AD35" s="475"/>
      <c r="AE35" s="629"/>
      <c r="AF35" s="627"/>
      <c r="AG35" s="629"/>
      <c r="AH35" s="627"/>
      <c r="AI35" s="613"/>
      <c r="AJ35" s="585"/>
      <c r="AK35" s="585"/>
      <c r="AL35" s="474"/>
      <c r="AM35" s="474"/>
      <c r="AN35" s="624"/>
      <c r="AO35" s="474"/>
      <c r="AP35" s="585"/>
      <c r="AQ35" s="475"/>
      <c r="AR35" s="475"/>
      <c r="AS35" s="475"/>
      <c r="AT35" s="475"/>
      <c r="AU35" s="585"/>
      <c r="AV35" s="475"/>
      <c r="AW35" s="474"/>
      <c r="AX35" s="630"/>
      <c r="AY35" s="585"/>
      <c r="AZ35" s="475"/>
      <c r="BA35" s="475"/>
      <c r="BB35" s="632"/>
      <c r="BC35" s="628"/>
      <c r="BD35" s="632"/>
      <c r="BE35" s="617"/>
      <c r="BF35" s="475"/>
      <c r="BG35" s="928"/>
      <c r="BH35" s="475"/>
      <c r="BI35" s="624"/>
      <c r="BJ35" s="475"/>
      <c r="BK35" s="628"/>
      <c r="BL35" s="632"/>
      <c r="BM35" s="474"/>
      <c r="BN35" s="632"/>
      <c r="BO35" s="628"/>
      <c r="BP35" s="632"/>
      <c r="BQ35" s="475"/>
      <c r="BR35" s="632"/>
      <c r="BS35" s="347"/>
      <c r="BT35" s="475"/>
      <c r="BU35" s="475"/>
      <c r="BV35" s="475"/>
      <c r="BW35" s="347"/>
      <c r="BX35" s="630"/>
      <c r="BY35" s="475"/>
      <c r="BZ35" s="475"/>
      <c r="CA35" s="347"/>
      <c r="CB35" s="475"/>
      <c r="CC35" s="475"/>
      <c r="CD35" s="475"/>
      <c r="CE35" s="347"/>
      <c r="CF35" s="475"/>
      <c r="CG35" s="632"/>
      <c r="CH35" s="475"/>
      <c r="CI35" s="627"/>
      <c r="CJ35" s="627"/>
      <c r="CK35" s="627"/>
      <c r="CL35" s="627"/>
      <c r="CM35" s="613"/>
      <c r="CN35" s="715"/>
      <c r="CO35" s="476"/>
      <c r="CP35" s="715"/>
      <c r="CQ35" s="521"/>
      <c r="CR35" s="476"/>
      <c r="CS35" s="521"/>
      <c r="CT35" s="476"/>
      <c r="CU35" s="629"/>
      <c r="CV35" s="616"/>
      <c r="CW35" s="629"/>
      <c r="CX35" s="616"/>
      <c r="CY35" s="620"/>
      <c r="CZ35" s="476"/>
      <c r="DA35" s="620"/>
      <c r="DB35" s="476"/>
      <c r="DC35" s="638"/>
      <c r="DD35" s="616"/>
      <c r="DE35" s="638"/>
      <c r="DF35" s="616"/>
      <c r="DG35" s="613"/>
      <c r="DH35" s="475"/>
      <c r="DI35" s="805"/>
      <c r="DJ35" s="476"/>
      <c r="DK35" s="632"/>
      <c r="DL35" s="709"/>
      <c r="DM35" s="620"/>
      <c r="DN35" s="674"/>
      <c r="DO35" s="630"/>
      <c r="DP35" s="709"/>
      <c r="DQ35" s="632"/>
      <c r="DR35" s="709"/>
      <c r="DS35" s="798"/>
      <c r="DT35" s="674"/>
      <c r="DU35" s="476"/>
      <c r="DV35" s="798"/>
      <c r="DW35" s="630"/>
      <c r="DX35" s="709"/>
      <c r="DY35" s="630"/>
      <c r="DZ35" s="709"/>
      <c r="EA35" s="799"/>
      <c r="EB35" s="687"/>
      <c r="EC35" s="613"/>
      <c r="ED35" s="475"/>
      <c r="EE35" s="805"/>
      <c r="EF35" s="476"/>
      <c r="EG35" s="632"/>
      <c r="EH35" s="709"/>
      <c r="EI35" s="585"/>
      <c r="EJ35" s="630"/>
      <c r="EK35" s="709"/>
      <c r="EL35" s="630"/>
      <c r="EM35" s="709"/>
      <c r="EN35" s="585"/>
      <c r="EO35" s="630"/>
      <c r="EP35" s="709"/>
      <c r="EQ35" s="630"/>
      <c r="ER35" s="709"/>
      <c r="ES35" s="613"/>
      <c r="ET35" s="475"/>
      <c r="EU35" s="709"/>
      <c r="EV35" s="476"/>
      <c r="EW35" s="632"/>
      <c r="EX35" s="709"/>
      <c r="EY35" s="613"/>
      <c r="EZ35" s="475"/>
      <c r="FA35" s="805"/>
      <c r="FB35" s="476"/>
      <c r="FC35" s="632"/>
      <c r="FD35" s="709"/>
      <c r="FE35" s="613"/>
      <c r="FF35" s="475"/>
      <c r="FG35" s="805"/>
      <c r="FH35" s="476"/>
      <c r="FI35" s="632"/>
      <c r="FJ35" s="709"/>
      <c r="FK35" s="613"/>
      <c r="FL35" s="475"/>
      <c r="FM35" s="805"/>
      <c r="FN35" s="476"/>
      <c r="FO35" s="632"/>
      <c r="FP35" s="709"/>
      <c r="FQ35" s="613"/>
      <c r="FR35" s="475"/>
      <c r="FS35" s="805"/>
      <c r="FT35" s="476"/>
      <c r="FU35" s="632"/>
      <c r="FV35" s="709"/>
      <c r="FW35" s="696"/>
      <c r="FX35" s="698"/>
      <c r="FY35" s="696"/>
      <c r="FZ35" s="698"/>
      <c r="GA35" s="613"/>
      <c r="GB35" s="475"/>
      <c r="GC35" s="743"/>
      <c r="GD35" s="613"/>
      <c r="GE35" s="475"/>
      <c r="GF35" s="743"/>
      <c r="GG35" s="613"/>
      <c r="GH35" s="475"/>
      <c r="GI35" s="743"/>
      <c r="GJ35" s="475"/>
      <c r="GK35" s="805"/>
      <c r="GL35" s="476"/>
      <c r="GM35" s="475"/>
      <c r="GN35" s="743"/>
      <c r="GO35" s="475"/>
      <c r="GP35" s="743"/>
      <c r="GQ35" s="476"/>
      <c r="GR35" s="475"/>
      <c r="GS35" s="743"/>
      <c r="GT35" s="475"/>
      <c r="GU35" s="805"/>
      <c r="GV35" s="476"/>
      <c r="GW35" s="475"/>
      <c r="GX35" s="743"/>
      <c r="GY35" s="475"/>
      <c r="GZ35" s="743"/>
      <c r="HA35" s="696"/>
      <c r="HB35" s="475"/>
      <c r="HC35" s="805"/>
      <c r="HD35" s="475"/>
      <c r="HE35" s="805"/>
      <c r="HF35" s="696"/>
      <c r="HG35" s="475"/>
      <c r="HH35" s="805"/>
      <c r="HI35" s="475"/>
      <c r="HJ35" s="743"/>
      <c r="HK35" s="696"/>
      <c r="HL35" s="475"/>
      <c r="HM35" s="743"/>
      <c r="HN35" s="475"/>
      <c r="HO35" s="805"/>
      <c r="HP35" s="696"/>
      <c r="HQ35" s="475"/>
      <c r="HR35" s="743"/>
      <c r="HS35" s="475"/>
      <c r="HT35" s="743"/>
      <c r="HU35" s="613"/>
      <c r="HV35" s="687"/>
      <c r="HW35" s="709"/>
      <c r="HX35" s="476"/>
      <c r="HY35" s="687"/>
      <c r="HZ35" s="709"/>
      <c r="IA35" s="613"/>
      <c r="IB35" s="687"/>
      <c r="IC35" s="709"/>
      <c r="ID35" s="476"/>
      <c r="IE35" s="687"/>
      <c r="IF35" s="709"/>
      <c r="IG35" s="613"/>
      <c r="IH35" s="687"/>
      <c r="II35" s="709"/>
      <c r="IJ35" s="476"/>
      <c r="IK35" s="687"/>
      <c r="IL35" s="709"/>
      <c r="IM35" s="620"/>
      <c r="IN35" s="687"/>
      <c r="IO35" s="709"/>
      <c r="IP35" s="476"/>
      <c r="IQ35" s="674"/>
      <c r="IR35" s="709"/>
      <c r="IS35" s="613"/>
      <c r="IT35" s="674"/>
      <c r="IU35" s="709"/>
      <c r="IV35" s="476"/>
      <c r="IW35" s="674"/>
      <c r="IX35" s="709"/>
      <c r="IY35" s="696"/>
      <c r="IZ35" s="674"/>
      <c r="JA35" s="709"/>
      <c r="JB35" s="698"/>
      <c r="JC35" s="674"/>
      <c r="JD35" s="709"/>
      <c r="JE35" s="698"/>
      <c r="JF35" s="674"/>
      <c r="JG35" s="709"/>
      <c r="JH35" s="698"/>
      <c r="JI35" s="674"/>
      <c r="JJ35" s="709"/>
      <c r="JK35" s="613"/>
      <c r="JL35" s="475"/>
      <c r="JM35" s="743"/>
      <c r="JN35" s="476"/>
      <c r="JO35" s="475"/>
      <c r="JP35" s="743"/>
      <c r="JQ35" s="347"/>
      <c r="JR35" s="475"/>
      <c r="JS35" s="743"/>
      <c r="JT35" s="674"/>
      <c r="JU35" s="816"/>
      <c r="JV35" s="347"/>
      <c r="JW35" s="475"/>
      <c r="JX35" s="743"/>
      <c r="JY35" s="475"/>
      <c r="JZ35" s="743"/>
      <c r="KA35" s="347"/>
      <c r="KB35" s="475"/>
      <c r="KC35" s="743"/>
      <c r="KD35" s="674"/>
      <c r="KE35" s="805"/>
      <c r="KF35" s="347"/>
      <c r="KG35" s="475"/>
      <c r="KH35" s="743"/>
      <c r="KI35" s="632"/>
      <c r="KJ35" s="709"/>
      <c r="KK35" s="627"/>
      <c r="KL35" s="475"/>
      <c r="KM35" s="743"/>
      <c r="KN35" s="674"/>
      <c r="KO35" s="709"/>
      <c r="KP35" s="627"/>
      <c r="KQ35" s="475"/>
      <c r="KR35" s="743"/>
      <c r="KS35" s="674"/>
      <c r="KT35" s="816"/>
      <c r="KU35" s="627"/>
      <c r="KV35" s="475"/>
      <c r="KW35" s="743"/>
      <c r="KX35" s="674"/>
      <c r="KY35" s="805"/>
      <c r="KZ35" s="627"/>
      <c r="LA35" s="475"/>
      <c r="LB35" s="743"/>
      <c r="LC35" s="674"/>
      <c r="LD35" s="816"/>
      <c r="LE35" s="347"/>
      <c r="LF35" s="475"/>
      <c r="LG35" s="709"/>
      <c r="LH35" s="475"/>
      <c r="LI35" s="709"/>
      <c r="LJ35" s="630"/>
      <c r="LK35" s="347"/>
      <c r="LL35" s="630"/>
      <c r="LM35" s="709"/>
      <c r="LN35" s="630"/>
      <c r="LO35" s="709"/>
      <c r="LP35" s="475"/>
      <c r="LQ35" s="347"/>
      <c r="LR35" s="474"/>
      <c r="LS35" s="630"/>
      <c r="LT35" s="474"/>
      <c r="LU35" s="709"/>
      <c r="LV35" s="347"/>
      <c r="LW35" s="475"/>
      <c r="LX35" s="798"/>
      <c r="LY35" s="630"/>
      <c r="LZ35" s="709"/>
      <c r="MA35" s="347"/>
      <c r="MB35" s="475"/>
      <c r="MC35" s="475"/>
      <c r="MD35" s="709"/>
      <c r="ME35" s="347"/>
      <c r="MF35" s="674"/>
      <c r="MG35" s="674"/>
      <c r="MH35" s="709"/>
      <c r="MI35" s="628"/>
      <c r="MJ35" s="628"/>
      <c r="MK35" s="928"/>
      <c r="ML35" s="628"/>
      <c r="MM35" s="476"/>
      <c r="MN35" s="674"/>
      <c r="MO35" s="709"/>
      <c r="MP35" s="674"/>
      <c r="MQ35" s="476"/>
      <c r="MR35" s="674"/>
      <c r="MS35" s="709"/>
      <c r="MT35" s="674"/>
      <c r="MU35" s="476"/>
      <c r="MV35" s="674"/>
      <c r="MW35" s="709"/>
      <c r="MX35" s="674"/>
      <c r="MY35" s="519"/>
      <c r="MZ35" s="674"/>
      <c r="NA35" s="709"/>
      <c r="NB35" s="674"/>
      <c r="NC35" s="797"/>
      <c r="ND35" s="687"/>
      <c r="NE35" s="709"/>
      <c r="NF35" s="674"/>
      <c r="NG35" s="627"/>
      <c r="NH35" s="799"/>
      <c r="NI35" s="709"/>
      <c r="NJ35" s="674"/>
      <c r="NK35" s="627"/>
      <c r="NL35" s="687"/>
      <c r="NM35" s="709"/>
      <c r="NN35" s="674"/>
      <c r="NO35" s="627"/>
      <c r="NP35" s="674"/>
      <c r="NQ35" s="709"/>
      <c r="NR35" s="674"/>
      <c r="NS35" s="347"/>
      <c r="NT35" s="475"/>
      <c r="NU35" s="743"/>
      <c r="NV35" s="347"/>
      <c r="NW35" s="475"/>
      <c r="NX35" s="743"/>
      <c r="NY35" s="347"/>
      <c r="NZ35" s="475"/>
      <c r="OA35" s="743"/>
      <c r="OB35" s="475"/>
      <c r="OC35" s="743"/>
      <c r="OD35" s="475"/>
      <c r="OE35" s="743"/>
      <c r="OF35" s="347"/>
      <c r="OG35" s="475"/>
      <c r="OH35" s="743"/>
      <c r="OI35" s="475"/>
      <c r="OJ35" s="743"/>
      <c r="OK35" s="475"/>
      <c r="OL35" s="743"/>
      <c r="OM35" s="628"/>
      <c r="ON35" s="475"/>
      <c r="OO35" s="743"/>
      <c r="OP35" s="475"/>
      <c r="OQ35" s="743"/>
      <c r="OR35" s="475"/>
      <c r="OS35" s="743"/>
      <c r="OT35" s="628"/>
      <c r="OU35" s="475"/>
      <c r="OV35" s="743"/>
      <c r="OW35" s="475"/>
      <c r="OX35" s="743"/>
      <c r="OY35" s="475"/>
      <c r="OZ35" s="743"/>
      <c r="PA35" s="628"/>
      <c r="PB35" s="475"/>
      <c r="PC35" s="743"/>
      <c r="PD35" s="475"/>
      <c r="PE35" s="743"/>
      <c r="PF35" s="475"/>
      <c r="PG35" s="743"/>
      <c r="PH35" s="628"/>
      <c r="PI35" s="475"/>
      <c r="PJ35" s="743"/>
      <c r="PK35" s="475"/>
      <c r="PL35" s="743"/>
      <c r="PM35" s="475"/>
      <c r="PN35" s="743"/>
      <c r="PO35" s="613"/>
      <c r="PP35" s="475"/>
      <c r="PQ35" s="805"/>
      <c r="PR35" s="476"/>
      <c r="PS35" s="632"/>
      <c r="PT35" s="709"/>
      <c r="PU35" s="347"/>
      <c r="PV35" s="474"/>
      <c r="PW35" s="803"/>
      <c r="PX35" s="347"/>
      <c r="PY35" s="630"/>
      <c r="PZ35" s="709"/>
      <c r="QA35" s="347"/>
      <c r="QB35" s="630"/>
      <c r="QC35" s="709"/>
      <c r="QD35" s="347"/>
      <c r="QE35" s="630"/>
      <c r="QF35" s="709"/>
      <c r="QG35" s="628"/>
      <c r="QH35" s="475"/>
      <c r="QI35" s="743"/>
      <c r="QJ35" s="628"/>
      <c r="QK35" s="475"/>
      <c r="QL35" s="743"/>
      <c r="QM35" s="628"/>
      <c r="QN35" s="674"/>
      <c r="QO35" s="805"/>
      <c r="QP35" s="628"/>
      <c r="QQ35" s="630"/>
      <c r="QR35" s="709"/>
      <c r="QS35" s="476"/>
      <c r="QT35" s="476"/>
      <c r="QU35" s="476"/>
      <c r="QV35" s="347"/>
      <c r="QW35" s="629"/>
      <c r="QX35" s="627"/>
      <c r="QY35" s="629"/>
      <c r="QZ35" s="627"/>
      <c r="RA35" s="476"/>
      <c r="RB35" s="630"/>
      <c r="RC35" s="475"/>
      <c r="RD35" s="476"/>
      <c r="RE35" s="630"/>
      <c r="RF35" s="475"/>
      <c r="RG35" s="620"/>
      <c r="RH35" s="347"/>
      <c r="RI35" s="620"/>
      <c r="RJ35" s="347"/>
      <c r="RK35" s="613"/>
      <c r="RL35" s="347"/>
      <c r="RM35" s="620"/>
      <c r="RN35" s="347"/>
      <c r="RO35" s="620"/>
      <c r="RP35" s="347"/>
      <c r="RQ35" s="521"/>
      <c r="RR35" s="347"/>
      <c r="RS35" s="519"/>
      <c r="RT35" s="519"/>
      <c r="RU35" s="519"/>
      <c r="RV35" s="519"/>
      <c r="RW35" s="519"/>
      <c r="RX35" s="519"/>
      <c r="RY35" s="347"/>
      <c r="RZ35" s="475"/>
      <c r="SA35" s="475"/>
      <c r="SB35" s="654"/>
      <c r="SC35" s="476"/>
      <c r="SD35" s="347"/>
      <c r="SE35" s="585"/>
      <c r="SF35" s="347"/>
      <c r="SG35" s="582"/>
      <c r="SH35" s="584"/>
      <c r="SI35" s="347"/>
      <c r="SJ35" s="632"/>
      <c r="SK35" s="709"/>
      <c r="SL35" s="476"/>
      <c r="SM35" s="632"/>
      <c r="SN35" s="709"/>
      <c r="SO35" s="582"/>
      <c r="SP35" s="947"/>
      <c r="SQ35" s="582"/>
      <c r="SR35" s="947"/>
      <c r="SS35" s="958"/>
      <c r="ST35" s="947"/>
      <c r="SU35" s="958"/>
      <c r="SV35" s="947"/>
      <c r="SW35" s="958"/>
      <c r="SX35" s="958"/>
      <c r="SY35" s="958"/>
      <c r="SZ35" s="958"/>
      <c r="TA35" s="582"/>
      <c r="TB35" s="709"/>
      <c r="TC35" s="582"/>
      <c r="TD35" s="709"/>
      <c r="TE35" s="582"/>
      <c r="TF35" s="709"/>
      <c r="TG35" s="582"/>
      <c r="TH35" s="709"/>
      <c r="TI35" s="583"/>
      <c r="TJ35" s="583"/>
      <c r="TK35" s="583"/>
      <c r="TL35" s="583"/>
      <c r="TM35" s="582"/>
      <c r="TN35" s="709"/>
      <c r="TO35" s="582"/>
      <c r="TP35" s="709"/>
      <c r="TQ35" s="582"/>
      <c r="TR35" s="709"/>
      <c r="TS35" s="582"/>
      <c r="TT35" s="709"/>
      <c r="TU35" s="583"/>
      <c r="TV35" s="583"/>
      <c r="TW35" s="583"/>
      <c r="TX35" s="583"/>
      <c r="TY35" s="582"/>
      <c r="TZ35" s="581"/>
      <c r="UA35" s="947"/>
      <c r="UB35" s="582"/>
      <c r="UC35" s="581"/>
      <c r="UD35" s="947"/>
      <c r="UE35" s="582"/>
      <c r="UF35" s="581"/>
      <c r="UG35" s="947"/>
      <c r="UH35" s="582"/>
      <c r="UI35" s="581"/>
      <c r="UJ35" s="947"/>
      <c r="UK35" s="958"/>
      <c r="UL35" s="958"/>
      <c r="UM35" s="958"/>
      <c r="UN35" s="958"/>
      <c r="UO35" s="347"/>
      <c r="UP35" s="674"/>
      <c r="UQ35" s="709"/>
      <c r="UR35" s="347"/>
      <c r="US35" s="674"/>
      <c r="UT35" s="709"/>
      <c r="UU35" s="347"/>
      <c r="UV35" s="674"/>
      <c r="UW35" s="709"/>
      <c r="UX35" s="347"/>
      <c r="UY35" s="674"/>
      <c r="UZ35" s="709"/>
      <c r="VA35" s="582"/>
      <c r="VB35" s="581"/>
      <c r="VC35" s="947"/>
      <c r="VD35" s="581"/>
      <c r="VE35" s="582"/>
      <c r="VF35" s="581"/>
      <c r="VG35" s="947"/>
      <c r="VH35" s="581"/>
      <c r="VI35" s="582"/>
      <c r="VJ35" s="581"/>
      <c r="VK35" s="582"/>
      <c r="VL35" s="581"/>
      <c r="VM35" s="958"/>
      <c r="VN35" s="581"/>
      <c r="VO35" s="958"/>
      <c r="VP35" s="581"/>
      <c r="VQ35" s="958"/>
      <c r="VR35" s="581"/>
      <c r="VS35" s="958"/>
      <c r="VT35" s="581"/>
      <c r="VU35" s="580"/>
      <c r="VV35" s="582"/>
      <c r="VW35" s="582"/>
      <c r="VX35" s="582"/>
      <c r="VY35" s="582"/>
      <c r="VZ35" s="582"/>
      <c r="WA35" s="583"/>
      <c r="WB35" s="583"/>
      <c r="WC35" s="583"/>
      <c r="WD35" s="583"/>
      <c r="WE35" s="582"/>
      <c r="WF35" s="582"/>
      <c r="WG35" s="582"/>
      <c r="WH35" s="582"/>
      <c r="WI35" s="583"/>
      <c r="WJ35" s="583"/>
      <c r="WK35" s="583"/>
      <c r="WL35" s="583"/>
      <c r="WM35" s="1547">
        <f>'План и исполнение'!WE35+'План и исполнение'!WG35</f>
        <v>0</v>
      </c>
      <c r="WN35" s="1547">
        <f>'План и исполнение'!WF35+'План и исполнение'!WH35</f>
        <v>0</v>
      </c>
    </row>
    <row r="36" spans="1:612" s="340" customFormat="1" ht="25.5" customHeight="1" thickBot="1" x14ac:dyDescent="0.35">
      <c r="A36" s="356"/>
      <c r="B36" s="346"/>
      <c r="C36" s="346"/>
      <c r="D36" s="639"/>
      <c r="E36" s="640"/>
      <c r="F36" s="587"/>
      <c r="G36" s="346"/>
      <c r="H36" s="346"/>
      <c r="I36" s="346"/>
      <c r="J36" s="590"/>
      <c r="K36" s="590"/>
      <c r="L36" s="590"/>
      <c r="M36" s="590"/>
      <c r="N36" s="587"/>
      <c r="O36" s="346"/>
      <c r="P36" s="520"/>
      <c r="Q36" s="346"/>
      <c r="R36" s="615"/>
      <c r="S36" s="590"/>
      <c r="T36" s="615"/>
      <c r="U36" s="590"/>
      <c r="V36" s="346"/>
      <c r="W36" s="346"/>
      <c r="X36" s="594"/>
      <c r="Y36" s="477"/>
      <c r="Z36" s="477"/>
      <c r="AA36" s="346"/>
      <c r="AB36" s="346"/>
      <c r="AC36" s="588"/>
      <c r="AD36" s="477"/>
      <c r="AE36" s="615"/>
      <c r="AF36" s="590"/>
      <c r="AG36" s="615"/>
      <c r="AH36" s="590"/>
      <c r="AI36" s="613"/>
      <c r="AJ36" s="587"/>
      <c r="AK36" s="587"/>
      <c r="AL36" s="477"/>
      <c r="AM36" s="477"/>
      <c r="AN36" s="682"/>
      <c r="AO36" s="477"/>
      <c r="AP36" s="587"/>
      <c r="AQ36" s="477"/>
      <c r="AR36" s="477"/>
      <c r="AS36" s="477"/>
      <c r="AT36" s="477"/>
      <c r="AU36" s="587"/>
      <c r="AV36" s="477"/>
      <c r="AW36" s="477"/>
      <c r="AX36" s="588"/>
      <c r="AY36" s="587"/>
      <c r="AZ36" s="477"/>
      <c r="BA36" s="477"/>
      <c r="BB36" s="589"/>
      <c r="BC36" s="618"/>
      <c r="BD36" s="589"/>
      <c r="BE36" s="588"/>
      <c r="BF36" s="477"/>
      <c r="BG36" s="675"/>
      <c r="BH36" s="477"/>
      <c r="BI36" s="589"/>
      <c r="BJ36" s="477"/>
      <c r="BK36" s="618"/>
      <c r="BL36" s="589"/>
      <c r="BM36" s="477"/>
      <c r="BN36" s="589"/>
      <c r="BO36" s="618"/>
      <c r="BP36" s="589"/>
      <c r="BQ36" s="477"/>
      <c r="BR36" s="589"/>
      <c r="BS36" s="346"/>
      <c r="BT36" s="477"/>
      <c r="BU36" s="477"/>
      <c r="BV36" s="477"/>
      <c r="BW36" s="346"/>
      <c r="BX36" s="588"/>
      <c r="BY36" s="477"/>
      <c r="BZ36" s="477"/>
      <c r="CA36" s="346"/>
      <c r="CB36" s="477"/>
      <c r="CC36" s="477"/>
      <c r="CD36" s="477"/>
      <c r="CE36" s="346"/>
      <c r="CF36" s="477"/>
      <c r="CG36" s="589"/>
      <c r="CH36" s="477"/>
      <c r="CI36" s="590"/>
      <c r="CJ36" s="590"/>
      <c r="CK36" s="590"/>
      <c r="CL36" s="590"/>
      <c r="CM36" s="587"/>
      <c r="CN36" s="710"/>
      <c r="CO36" s="346"/>
      <c r="CP36" s="710"/>
      <c r="CQ36" s="520"/>
      <c r="CR36" s="346"/>
      <c r="CS36" s="520"/>
      <c r="CT36" s="346"/>
      <c r="CU36" s="615"/>
      <c r="CV36" s="590"/>
      <c r="CW36" s="615"/>
      <c r="CX36" s="590"/>
      <c r="CY36" s="520"/>
      <c r="CZ36" s="346"/>
      <c r="DA36" s="520"/>
      <c r="DB36" s="346"/>
      <c r="DC36" s="615"/>
      <c r="DD36" s="590"/>
      <c r="DE36" s="615"/>
      <c r="DF36" s="590"/>
      <c r="DG36" s="587"/>
      <c r="DH36" s="477"/>
      <c r="DI36" s="802"/>
      <c r="DJ36" s="346"/>
      <c r="DK36" s="589"/>
      <c r="DL36" s="710"/>
      <c r="DM36" s="520"/>
      <c r="DN36" s="593"/>
      <c r="DO36" s="588"/>
      <c r="DP36" s="710"/>
      <c r="DQ36" s="589"/>
      <c r="DR36" s="710"/>
      <c r="DS36" s="594"/>
      <c r="DT36" s="593"/>
      <c r="DU36" s="346"/>
      <c r="DV36" s="594"/>
      <c r="DW36" s="588"/>
      <c r="DX36" s="710"/>
      <c r="DY36" s="588"/>
      <c r="DZ36" s="710"/>
      <c r="EA36" s="682"/>
      <c r="EB36" s="595"/>
      <c r="EC36" s="587"/>
      <c r="ED36" s="477"/>
      <c r="EE36" s="802"/>
      <c r="EF36" s="346"/>
      <c r="EG36" s="589"/>
      <c r="EH36" s="710"/>
      <c r="EI36" s="587"/>
      <c r="EJ36" s="588"/>
      <c r="EK36" s="710"/>
      <c r="EL36" s="588"/>
      <c r="EM36" s="710"/>
      <c r="EN36" s="587"/>
      <c r="EO36" s="588"/>
      <c r="EP36" s="710"/>
      <c r="EQ36" s="588"/>
      <c r="ER36" s="710"/>
      <c r="ES36" s="587"/>
      <c r="ET36" s="477"/>
      <c r="EU36" s="710"/>
      <c r="EV36" s="346"/>
      <c r="EW36" s="589"/>
      <c r="EX36" s="710"/>
      <c r="EY36" s="587"/>
      <c r="EZ36" s="477"/>
      <c r="FA36" s="802"/>
      <c r="FB36" s="346"/>
      <c r="FC36" s="589"/>
      <c r="FD36" s="710"/>
      <c r="FE36" s="587"/>
      <c r="FF36" s="477"/>
      <c r="FG36" s="802"/>
      <c r="FH36" s="346"/>
      <c r="FI36" s="589"/>
      <c r="FJ36" s="710"/>
      <c r="FK36" s="587"/>
      <c r="FL36" s="477"/>
      <c r="FM36" s="802"/>
      <c r="FN36" s="346"/>
      <c r="FO36" s="589"/>
      <c r="FP36" s="710"/>
      <c r="FQ36" s="587"/>
      <c r="FR36" s="477"/>
      <c r="FS36" s="802"/>
      <c r="FT36" s="346"/>
      <c r="FU36" s="589"/>
      <c r="FV36" s="710"/>
      <c r="FW36" s="675"/>
      <c r="FX36" s="618"/>
      <c r="FY36" s="675"/>
      <c r="FZ36" s="618"/>
      <c r="GA36" s="587"/>
      <c r="GB36" s="477"/>
      <c r="GC36" s="741"/>
      <c r="GD36" s="587"/>
      <c r="GE36" s="477"/>
      <c r="GF36" s="741"/>
      <c r="GG36" s="587"/>
      <c r="GH36" s="477"/>
      <c r="GI36" s="741"/>
      <c r="GJ36" s="477"/>
      <c r="GK36" s="802"/>
      <c r="GL36" s="346"/>
      <c r="GM36" s="477"/>
      <c r="GN36" s="741"/>
      <c r="GO36" s="477"/>
      <c r="GP36" s="741"/>
      <c r="GQ36" s="346"/>
      <c r="GR36" s="477"/>
      <c r="GS36" s="741"/>
      <c r="GT36" s="477"/>
      <c r="GU36" s="802"/>
      <c r="GV36" s="346"/>
      <c r="GW36" s="477"/>
      <c r="GX36" s="741"/>
      <c r="GY36" s="477"/>
      <c r="GZ36" s="741"/>
      <c r="HA36" s="675"/>
      <c r="HB36" s="477"/>
      <c r="HC36" s="802"/>
      <c r="HD36" s="477"/>
      <c r="HE36" s="802"/>
      <c r="HF36" s="675"/>
      <c r="HG36" s="477"/>
      <c r="HH36" s="802"/>
      <c r="HI36" s="477"/>
      <c r="HJ36" s="741"/>
      <c r="HK36" s="675"/>
      <c r="HL36" s="477"/>
      <c r="HM36" s="741"/>
      <c r="HN36" s="477"/>
      <c r="HO36" s="802"/>
      <c r="HP36" s="675"/>
      <c r="HQ36" s="477"/>
      <c r="HR36" s="741"/>
      <c r="HS36" s="477"/>
      <c r="HT36" s="741"/>
      <c r="HU36" s="587"/>
      <c r="HV36" s="595"/>
      <c r="HW36" s="710"/>
      <c r="HX36" s="346"/>
      <c r="HY36" s="595"/>
      <c r="HZ36" s="710"/>
      <c r="IA36" s="587"/>
      <c r="IB36" s="595"/>
      <c r="IC36" s="710"/>
      <c r="ID36" s="346"/>
      <c r="IE36" s="595"/>
      <c r="IF36" s="710"/>
      <c r="IG36" s="587"/>
      <c r="IH36" s="595"/>
      <c r="II36" s="710"/>
      <c r="IJ36" s="346"/>
      <c r="IK36" s="595"/>
      <c r="IL36" s="710"/>
      <c r="IM36" s="520"/>
      <c r="IN36" s="595"/>
      <c r="IO36" s="710"/>
      <c r="IP36" s="346"/>
      <c r="IQ36" s="593"/>
      <c r="IR36" s="710"/>
      <c r="IS36" s="587"/>
      <c r="IT36" s="593"/>
      <c r="IU36" s="710"/>
      <c r="IV36" s="346"/>
      <c r="IW36" s="593"/>
      <c r="IX36" s="710"/>
      <c r="IY36" s="675"/>
      <c r="IZ36" s="593"/>
      <c r="JA36" s="710"/>
      <c r="JB36" s="618"/>
      <c r="JC36" s="593"/>
      <c r="JD36" s="710"/>
      <c r="JE36" s="618"/>
      <c r="JF36" s="593"/>
      <c r="JG36" s="710"/>
      <c r="JH36" s="618"/>
      <c r="JI36" s="593"/>
      <c r="JJ36" s="710"/>
      <c r="JK36" s="587"/>
      <c r="JL36" s="477"/>
      <c r="JM36" s="741"/>
      <c r="JN36" s="346"/>
      <c r="JO36" s="477"/>
      <c r="JP36" s="741"/>
      <c r="JQ36" s="346"/>
      <c r="JR36" s="477"/>
      <c r="JS36" s="741"/>
      <c r="JT36" s="593"/>
      <c r="JU36" s="737"/>
      <c r="JV36" s="346"/>
      <c r="JW36" s="477"/>
      <c r="JX36" s="741"/>
      <c r="JY36" s="477"/>
      <c r="JZ36" s="741"/>
      <c r="KA36" s="346"/>
      <c r="KB36" s="477"/>
      <c r="KC36" s="741"/>
      <c r="KD36" s="593"/>
      <c r="KE36" s="802"/>
      <c r="KF36" s="346"/>
      <c r="KG36" s="477"/>
      <c r="KH36" s="741"/>
      <c r="KI36" s="589"/>
      <c r="KJ36" s="710"/>
      <c r="KK36" s="590"/>
      <c r="KL36" s="477"/>
      <c r="KM36" s="741"/>
      <c r="KN36" s="593"/>
      <c r="KO36" s="710"/>
      <c r="KP36" s="590"/>
      <c r="KQ36" s="477"/>
      <c r="KR36" s="741"/>
      <c r="KS36" s="593"/>
      <c r="KT36" s="737"/>
      <c r="KU36" s="590"/>
      <c r="KV36" s="477"/>
      <c r="KW36" s="741"/>
      <c r="KX36" s="593"/>
      <c r="KY36" s="802"/>
      <c r="KZ36" s="590"/>
      <c r="LA36" s="477"/>
      <c r="LB36" s="741"/>
      <c r="LC36" s="593"/>
      <c r="LD36" s="737"/>
      <c r="LE36" s="346"/>
      <c r="LF36" s="477"/>
      <c r="LG36" s="710"/>
      <c r="LH36" s="477"/>
      <c r="LI36" s="710"/>
      <c r="LJ36" s="588"/>
      <c r="LK36" s="346"/>
      <c r="LL36" s="588"/>
      <c r="LM36" s="710"/>
      <c r="LN36" s="588"/>
      <c r="LO36" s="710"/>
      <c r="LP36" s="477"/>
      <c r="LQ36" s="346"/>
      <c r="LR36" s="477"/>
      <c r="LS36" s="588"/>
      <c r="LT36" s="477"/>
      <c r="LU36" s="710"/>
      <c r="LV36" s="346"/>
      <c r="LW36" s="477"/>
      <c r="LX36" s="594"/>
      <c r="LY36" s="588"/>
      <c r="LZ36" s="710"/>
      <c r="MA36" s="346"/>
      <c r="MB36" s="477"/>
      <c r="MC36" s="477"/>
      <c r="MD36" s="710"/>
      <c r="ME36" s="346"/>
      <c r="MF36" s="593"/>
      <c r="MG36" s="593"/>
      <c r="MH36" s="710"/>
      <c r="MI36" s="618"/>
      <c r="MJ36" s="618"/>
      <c r="MK36" s="675"/>
      <c r="ML36" s="618"/>
      <c r="MM36" s="346"/>
      <c r="MN36" s="593"/>
      <c r="MO36" s="710"/>
      <c r="MP36" s="593"/>
      <c r="MQ36" s="346"/>
      <c r="MR36" s="593"/>
      <c r="MS36" s="710"/>
      <c r="MT36" s="593"/>
      <c r="MU36" s="346"/>
      <c r="MV36" s="593"/>
      <c r="MW36" s="710"/>
      <c r="MX36" s="593"/>
      <c r="MY36" s="518"/>
      <c r="MZ36" s="593"/>
      <c r="NA36" s="710"/>
      <c r="NB36" s="593"/>
      <c r="NC36" s="592"/>
      <c r="ND36" s="595"/>
      <c r="NE36" s="710"/>
      <c r="NF36" s="593"/>
      <c r="NG36" s="590"/>
      <c r="NH36" s="682"/>
      <c r="NI36" s="710"/>
      <c r="NJ36" s="593"/>
      <c r="NK36" s="590"/>
      <c r="NL36" s="595"/>
      <c r="NM36" s="710"/>
      <c r="NN36" s="593"/>
      <c r="NO36" s="590"/>
      <c r="NP36" s="593"/>
      <c r="NQ36" s="710"/>
      <c r="NR36" s="593"/>
      <c r="NS36" s="346"/>
      <c r="NT36" s="477"/>
      <c r="NU36" s="741"/>
      <c r="NV36" s="346"/>
      <c r="NW36" s="477"/>
      <c r="NX36" s="741"/>
      <c r="NY36" s="346"/>
      <c r="NZ36" s="477"/>
      <c r="OA36" s="741"/>
      <c r="OB36" s="477"/>
      <c r="OC36" s="741"/>
      <c r="OD36" s="477"/>
      <c r="OE36" s="741"/>
      <c r="OF36" s="346"/>
      <c r="OG36" s="477"/>
      <c r="OH36" s="741"/>
      <c r="OI36" s="477"/>
      <c r="OJ36" s="741"/>
      <c r="OK36" s="477"/>
      <c r="OL36" s="741"/>
      <c r="OM36" s="618"/>
      <c r="ON36" s="477"/>
      <c r="OO36" s="741"/>
      <c r="OP36" s="477"/>
      <c r="OQ36" s="741"/>
      <c r="OR36" s="477"/>
      <c r="OS36" s="741"/>
      <c r="OT36" s="618"/>
      <c r="OU36" s="477"/>
      <c r="OV36" s="741"/>
      <c r="OW36" s="477"/>
      <c r="OX36" s="741"/>
      <c r="OY36" s="477"/>
      <c r="OZ36" s="741"/>
      <c r="PA36" s="618"/>
      <c r="PB36" s="477"/>
      <c r="PC36" s="741"/>
      <c r="PD36" s="477"/>
      <c r="PE36" s="741"/>
      <c r="PF36" s="477"/>
      <c r="PG36" s="741"/>
      <c r="PH36" s="618"/>
      <c r="PI36" s="477"/>
      <c r="PJ36" s="741"/>
      <c r="PK36" s="477"/>
      <c r="PL36" s="741"/>
      <c r="PM36" s="477"/>
      <c r="PN36" s="741"/>
      <c r="PO36" s="587"/>
      <c r="PP36" s="477"/>
      <c r="PQ36" s="802"/>
      <c r="PR36" s="346"/>
      <c r="PS36" s="589"/>
      <c r="PT36" s="710"/>
      <c r="PU36" s="346"/>
      <c r="PV36" s="477"/>
      <c r="PW36" s="802"/>
      <c r="PX36" s="346"/>
      <c r="PY36" s="588"/>
      <c r="PZ36" s="710"/>
      <c r="QA36" s="346"/>
      <c r="QB36" s="588"/>
      <c r="QC36" s="710"/>
      <c r="QD36" s="346"/>
      <c r="QE36" s="588"/>
      <c r="QF36" s="710"/>
      <c r="QG36" s="618"/>
      <c r="QH36" s="477"/>
      <c r="QI36" s="741"/>
      <c r="QJ36" s="618"/>
      <c r="QK36" s="477"/>
      <c r="QL36" s="741"/>
      <c r="QM36" s="618"/>
      <c r="QN36" s="593"/>
      <c r="QO36" s="802"/>
      <c r="QP36" s="618"/>
      <c r="QQ36" s="588"/>
      <c r="QR36" s="710"/>
      <c r="QS36" s="346"/>
      <c r="QT36" s="346"/>
      <c r="QU36" s="346"/>
      <c r="QV36" s="346"/>
      <c r="QW36" s="615"/>
      <c r="QX36" s="590"/>
      <c r="QY36" s="615"/>
      <c r="QZ36" s="590"/>
      <c r="RA36" s="346"/>
      <c r="RB36" s="588"/>
      <c r="RC36" s="477"/>
      <c r="RD36" s="346"/>
      <c r="RE36" s="588"/>
      <c r="RF36" s="477"/>
      <c r="RG36" s="520"/>
      <c r="RH36" s="346"/>
      <c r="RI36" s="520"/>
      <c r="RJ36" s="346"/>
      <c r="RK36" s="587"/>
      <c r="RL36" s="346"/>
      <c r="RM36" s="520"/>
      <c r="RN36" s="346"/>
      <c r="RO36" s="520"/>
      <c r="RP36" s="346"/>
      <c r="RQ36" s="520"/>
      <c r="RR36" s="346"/>
      <c r="RS36" s="518"/>
      <c r="RT36" s="518"/>
      <c r="RU36" s="518"/>
      <c r="RV36" s="518"/>
      <c r="RW36" s="518"/>
      <c r="RX36" s="518"/>
      <c r="RY36" s="346"/>
      <c r="RZ36" s="477"/>
      <c r="SA36" s="477"/>
      <c r="SB36" s="1648"/>
      <c r="SC36" s="346"/>
      <c r="SD36" s="346"/>
      <c r="SE36" s="587"/>
      <c r="SF36" s="346"/>
      <c r="SG36" s="563"/>
      <c r="SH36" s="586"/>
      <c r="SI36" s="346"/>
      <c r="SJ36" s="589"/>
      <c r="SK36" s="710"/>
      <c r="SL36" s="346"/>
      <c r="SM36" s="589"/>
      <c r="SN36" s="710"/>
      <c r="SO36" s="563"/>
      <c r="SP36" s="946"/>
      <c r="SQ36" s="563"/>
      <c r="SR36" s="946"/>
      <c r="SS36" s="959"/>
      <c r="ST36" s="946"/>
      <c r="SU36" s="959"/>
      <c r="SV36" s="946"/>
      <c r="SW36" s="959"/>
      <c r="SX36" s="959"/>
      <c r="SY36" s="959"/>
      <c r="SZ36" s="959"/>
      <c r="TA36" s="563"/>
      <c r="TB36" s="710"/>
      <c r="TC36" s="563"/>
      <c r="TD36" s="710"/>
      <c r="TE36" s="563"/>
      <c r="TF36" s="710"/>
      <c r="TG36" s="563"/>
      <c r="TH36" s="710"/>
      <c r="TI36" s="565"/>
      <c r="TJ36" s="565"/>
      <c r="TK36" s="565"/>
      <c r="TL36" s="565"/>
      <c r="TM36" s="563"/>
      <c r="TN36" s="710"/>
      <c r="TO36" s="563"/>
      <c r="TP36" s="710"/>
      <c r="TQ36" s="563"/>
      <c r="TR36" s="710"/>
      <c r="TS36" s="563"/>
      <c r="TT36" s="710"/>
      <c r="TU36" s="565"/>
      <c r="TV36" s="565"/>
      <c r="TW36" s="565"/>
      <c r="TX36" s="565"/>
      <c r="TY36" s="563"/>
      <c r="TZ36" s="568"/>
      <c r="UA36" s="946"/>
      <c r="UB36" s="563"/>
      <c r="UC36" s="568"/>
      <c r="UD36" s="946"/>
      <c r="UE36" s="563"/>
      <c r="UF36" s="568"/>
      <c r="UG36" s="946"/>
      <c r="UH36" s="563"/>
      <c r="UI36" s="568"/>
      <c r="UJ36" s="946"/>
      <c r="UK36" s="959"/>
      <c r="UL36" s="959"/>
      <c r="UM36" s="959"/>
      <c r="UN36" s="959"/>
      <c r="UO36" s="346"/>
      <c r="UP36" s="593"/>
      <c r="UQ36" s="710"/>
      <c r="UR36" s="346"/>
      <c r="US36" s="593"/>
      <c r="UT36" s="710"/>
      <c r="UU36" s="346"/>
      <c r="UV36" s="593"/>
      <c r="UW36" s="710"/>
      <c r="UX36" s="346"/>
      <c r="UY36" s="593"/>
      <c r="UZ36" s="710"/>
      <c r="VA36" s="563"/>
      <c r="VB36" s="568"/>
      <c r="VC36" s="946"/>
      <c r="VD36" s="568"/>
      <c r="VE36" s="563"/>
      <c r="VF36" s="568"/>
      <c r="VG36" s="946"/>
      <c r="VH36" s="568"/>
      <c r="VI36" s="563"/>
      <c r="VJ36" s="568"/>
      <c r="VK36" s="563"/>
      <c r="VL36" s="568"/>
      <c r="VM36" s="959"/>
      <c r="VN36" s="568"/>
      <c r="VO36" s="959"/>
      <c r="VP36" s="568"/>
      <c r="VQ36" s="959"/>
      <c r="VR36" s="568"/>
      <c r="VS36" s="959"/>
      <c r="VT36" s="568"/>
      <c r="VU36" s="562"/>
      <c r="VV36" s="563"/>
      <c r="VW36" s="563"/>
      <c r="VX36" s="563"/>
      <c r="VY36" s="563"/>
      <c r="VZ36" s="563"/>
      <c r="WA36" s="565"/>
      <c r="WB36" s="565"/>
      <c r="WC36" s="565"/>
      <c r="WD36" s="565"/>
      <c r="WE36" s="563"/>
      <c r="WF36" s="563"/>
      <c r="WG36" s="563"/>
      <c r="WH36" s="563"/>
      <c r="WI36" s="565"/>
      <c r="WJ36" s="565"/>
      <c r="WK36" s="565"/>
      <c r="WL36" s="565"/>
      <c r="WM36" s="1547">
        <f>'План и исполнение'!WE36+'План и исполнение'!WG36</f>
        <v>0</v>
      </c>
      <c r="WN36" s="1547">
        <f>'План и исполнение'!WF36+'План и исполнение'!WH36</f>
        <v>0</v>
      </c>
    </row>
    <row r="37" spans="1:612" s="340" customFormat="1" ht="25.5" customHeight="1" thickBot="1" x14ac:dyDescent="0.35">
      <c r="A37" s="703" t="s">
        <v>136</v>
      </c>
      <c r="B37" s="346">
        <f t="shared" ref="B37:AG37" si="451">B30+B34</f>
        <v>22104574209.599998</v>
      </c>
      <c r="C37" s="346">
        <f t="shared" si="451"/>
        <v>10447797455.760002</v>
      </c>
      <c r="D37" s="587">
        <f t="shared" si="451"/>
        <v>2976947206</v>
      </c>
      <c r="E37" s="346">
        <f t="shared" si="451"/>
        <v>1793436155.1300001</v>
      </c>
      <c r="F37" s="587">
        <f t="shared" si="451"/>
        <v>1570295700</v>
      </c>
      <c r="G37" s="346">
        <f t="shared" si="451"/>
        <v>1007419738</v>
      </c>
      <c r="H37" s="346">
        <f t="shared" si="451"/>
        <v>621519600</v>
      </c>
      <c r="I37" s="346">
        <f t="shared" si="451"/>
        <v>353468063.85000002</v>
      </c>
      <c r="J37" s="590">
        <f t="shared" si="451"/>
        <v>489719600</v>
      </c>
      <c r="K37" s="590">
        <f t="shared" si="451"/>
        <v>252260288.84999999</v>
      </c>
      <c r="L37" s="590">
        <f t="shared" si="451"/>
        <v>131800000</v>
      </c>
      <c r="M37" s="590">
        <f t="shared" si="451"/>
        <v>101207775</v>
      </c>
      <c r="N37" s="587">
        <f t="shared" si="451"/>
        <v>350798806</v>
      </c>
      <c r="O37" s="346">
        <f t="shared" si="451"/>
        <v>184964546</v>
      </c>
      <c r="P37" s="520">
        <f t="shared" si="451"/>
        <v>394333100</v>
      </c>
      <c r="Q37" s="346">
        <f t="shared" si="451"/>
        <v>221475057.28</v>
      </c>
      <c r="R37" s="615">
        <f t="shared" si="451"/>
        <v>368921200</v>
      </c>
      <c r="S37" s="590">
        <f t="shared" si="451"/>
        <v>204922907.07999998</v>
      </c>
      <c r="T37" s="615">
        <f t="shared" si="451"/>
        <v>25411900</v>
      </c>
      <c r="U37" s="590">
        <f t="shared" si="451"/>
        <v>16552150.199999999</v>
      </c>
      <c r="V37" s="346">
        <f t="shared" si="451"/>
        <v>28500000</v>
      </c>
      <c r="W37" s="346">
        <f t="shared" si="451"/>
        <v>14800000</v>
      </c>
      <c r="X37" s="594">
        <f t="shared" si="451"/>
        <v>6000000</v>
      </c>
      <c r="Y37" s="477">
        <f t="shared" si="451"/>
        <v>8800000</v>
      </c>
      <c r="Z37" s="477">
        <f t="shared" si="451"/>
        <v>0</v>
      </c>
      <c r="AA37" s="346">
        <f t="shared" si="451"/>
        <v>11500000</v>
      </c>
      <c r="AB37" s="346">
        <f t="shared" si="451"/>
        <v>11308750</v>
      </c>
      <c r="AC37" s="588">
        <f t="shared" si="451"/>
        <v>8308750</v>
      </c>
      <c r="AD37" s="477">
        <f t="shared" si="451"/>
        <v>3000000</v>
      </c>
      <c r="AE37" s="615">
        <f t="shared" si="451"/>
        <v>8500000</v>
      </c>
      <c r="AF37" s="590">
        <f t="shared" si="451"/>
        <v>8308750</v>
      </c>
      <c r="AG37" s="615">
        <f t="shared" si="451"/>
        <v>3000000</v>
      </c>
      <c r="AH37" s="590">
        <f t="shared" ref="AH37:AJ37" si="452">AH30+AH34</f>
        <v>3000000</v>
      </c>
      <c r="AI37" s="478">
        <f t="shared" si="452"/>
        <v>6405091218.1599998</v>
      </c>
      <c r="AJ37" s="587">
        <f t="shared" si="452"/>
        <v>1820130796.2700002</v>
      </c>
      <c r="AK37" s="587">
        <f t="shared" ref="AK37" si="453">AK30+AK34</f>
        <v>64182433.969999999</v>
      </c>
      <c r="AL37" s="472">
        <f>AL30+AL34</f>
        <v>0</v>
      </c>
      <c r="AM37" s="472">
        <f>AM30+AM34</f>
        <v>55745986.689999998</v>
      </c>
      <c r="AN37" s="631">
        <f t="shared" ref="AN37" si="454">AN30+AN34</f>
        <v>0</v>
      </c>
      <c r="AO37" s="472">
        <f>AO30+AO34</f>
        <v>8436447.2800000012</v>
      </c>
      <c r="AP37" s="587">
        <f t="shared" ref="AP37" si="455">AP30+AP34</f>
        <v>0</v>
      </c>
      <c r="AQ37" s="472">
        <f>AQ30+AQ34</f>
        <v>0</v>
      </c>
      <c r="AR37" s="472">
        <f>AR30+AR34</f>
        <v>0</v>
      </c>
      <c r="AS37" s="472">
        <f t="shared" ref="AS37" si="456">AS30+AS34</f>
        <v>0</v>
      </c>
      <c r="AT37" s="472">
        <f>AT30+AT34</f>
        <v>0</v>
      </c>
      <c r="AU37" s="587">
        <f t="shared" ref="AU37" si="457">AU30+AU34</f>
        <v>63679506.950000003</v>
      </c>
      <c r="AV37" s="472">
        <f>AV30+AV34</f>
        <v>63679506.950000003</v>
      </c>
      <c r="AW37" s="472">
        <f>AW30+AW34</f>
        <v>0</v>
      </c>
      <c r="AX37" s="621">
        <f>AX30+AX34</f>
        <v>0</v>
      </c>
      <c r="AY37" s="587">
        <f t="shared" ref="AY37" si="458">AY30+AY34</f>
        <v>23548313.280000001</v>
      </c>
      <c r="AZ37" s="472">
        <f>AZ30+AZ34</f>
        <v>23548313.280000001</v>
      </c>
      <c r="BA37" s="472">
        <f>BA30+BA34</f>
        <v>0</v>
      </c>
      <c r="BB37" s="631">
        <f>BB30+BB34</f>
        <v>0</v>
      </c>
      <c r="BC37" s="618">
        <f t="shared" ref="BC37" si="459">BC30+BC34</f>
        <v>63679506.950000003</v>
      </c>
      <c r="BD37" s="631">
        <f>BD30+BD34</f>
        <v>63679506.950000003</v>
      </c>
      <c r="BE37" s="621">
        <f>BE30+BE34</f>
        <v>0</v>
      </c>
      <c r="BF37" s="472">
        <f>BF30+BF34</f>
        <v>0</v>
      </c>
      <c r="BG37" s="675">
        <f t="shared" ref="BG37" si="460">BG30+BG34</f>
        <v>23548313.280000001</v>
      </c>
      <c r="BH37" s="472">
        <f>BH30+BH34</f>
        <v>23548313.280000001</v>
      </c>
      <c r="BI37" s="631">
        <f>BI30+BI34</f>
        <v>0</v>
      </c>
      <c r="BJ37" s="472">
        <f>BJ30+BJ34</f>
        <v>0</v>
      </c>
      <c r="BK37" s="618">
        <f t="shared" ref="BK37" si="461">BK30+BK34</f>
        <v>0</v>
      </c>
      <c r="BL37" s="631">
        <f>BL30+BL34</f>
        <v>0</v>
      </c>
      <c r="BM37" s="472">
        <f>BM30+BM34</f>
        <v>0</v>
      </c>
      <c r="BN37" s="631">
        <f>BN30+BN34</f>
        <v>0</v>
      </c>
      <c r="BO37" s="618">
        <f t="shared" ref="BO37" si="462">BO30+BO34</f>
        <v>0</v>
      </c>
      <c r="BP37" s="631">
        <f>BP30+BP34</f>
        <v>0</v>
      </c>
      <c r="BQ37" s="472">
        <f>BQ30+BQ34</f>
        <v>0</v>
      </c>
      <c r="BR37" s="631">
        <f>BR30+BR34</f>
        <v>0</v>
      </c>
      <c r="BS37" s="451">
        <f t="shared" ref="BS37:CI37" si="463">BS30+BS34</f>
        <v>1143747254.95</v>
      </c>
      <c r="BT37" s="472">
        <f t="shared" si="463"/>
        <v>107563353.95</v>
      </c>
      <c r="BU37" s="472">
        <f t="shared" si="463"/>
        <v>446303201</v>
      </c>
      <c r="BV37" s="472">
        <f>BV30+BV34</f>
        <v>589880700</v>
      </c>
      <c r="BW37" s="451">
        <f t="shared" ref="BW37" si="464">BW30+BW34</f>
        <v>89928912.060000002</v>
      </c>
      <c r="BX37" s="621">
        <f t="shared" si="463"/>
        <v>7854995.9299999997</v>
      </c>
      <c r="BY37" s="472">
        <f t="shared" si="463"/>
        <v>29714615.010000002</v>
      </c>
      <c r="BZ37" s="472">
        <f>BZ30+BZ34</f>
        <v>52359301.120000005</v>
      </c>
      <c r="CA37" s="451">
        <f t="shared" ref="CA37" si="465">CA30+CA34</f>
        <v>146598158.03</v>
      </c>
      <c r="CB37" s="472">
        <f t="shared" si="463"/>
        <v>59445206.030000001</v>
      </c>
      <c r="CC37" s="472">
        <f t="shared" si="463"/>
        <v>73152952</v>
      </c>
      <c r="CD37" s="472">
        <f>CD30+CD34</f>
        <v>14000000</v>
      </c>
      <c r="CE37" s="451">
        <f t="shared" ref="CE37" si="466">CE30+CE34</f>
        <v>25696811.099999998</v>
      </c>
      <c r="CF37" s="472">
        <f t="shared" si="463"/>
        <v>673915.95</v>
      </c>
      <c r="CG37" s="631">
        <f t="shared" si="463"/>
        <v>11022895.15</v>
      </c>
      <c r="CH37" s="472">
        <f>CH30+CH34</f>
        <v>14000000</v>
      </c>
      <c r="CI37" s="591">
        <f t="shared" si="463"/>
        <v>0</v>
      </c>
      <c r="CJ37" s="591">
        <f t="shared" ref="CJ37:DS37" si="467">CJ30+CJ34</f>
        <v>0</v>
      </c>
      <c r="CK37" s="591">
        <f t="shared" si="467"/>
        <v>146598158.03</v>
      </c>
      <c r="CL37" s="591">
        <f t="shared" si="467"/>
        <v>25696811.099999998</v>
      </c>
      <c r="CM37" s="478">
        <f t="shared" ref="CM37:CP37" si="468">CM30+CM34</f>
        <v>711188.46</v>
      </c>
      <c r="CN37" s="707">
        <f t="shared" si="468"/>
        <v>711188.46</v>
      </c>
      <c r="CO37" s="451">
        <f t="shared" si="468"/>
        <v>711188.46</v>
      </c>
      <c r="CP37" s="707">
        <f t="shared" si="468"/>
        <v>711188.46</v>
      </c>
      <c r="CQ37" s="520">
        <f t="shared" si="467"/>
        <v>435158399.64999998</v>
      </c>
      <c r="CR37" s="451">
        <f t="shared" si="467"/>
        <v>269435069.13</v>
      </c>
      <c r="CS37" s="520">
        <f t="shared" si="467"/>
        <v>105147261.73999999</v>
      </c>
      <c r="CT37" s="451">
        <f t="shared" si="467"/>
        <v>47307135.049999997</v>
      </c>
      <c r="CU37" s="615">
        <f t="shared" si="467"/>
        <v>8576793.0999999978</v>
      </c>
      <c r="CV37" s="591">
        <f t="shared" si="467"/>
        <v>2573037.9299999997</v>
      </c>
      <c r="CW37" s="615">
        <f t="shared" si="467"/>
        <v>96570468.639999986</v>
      </c>
      <c r="CX37" s="591">
        <f t="shared" si="467"/>
        <v>44734097.120000005</v>
      </c>
      <c r="CY37" s="633">
        <f t="shared" si="467"/>
        <v>96375574.139999986</v>
      </c>
      <c r="CZ37" s="451">
        <f t="shared" si="467"/>
        <v>36222543.260000005</v>
      </c>
      <c r="DA37" s="633">
        <f t="shared" si="467"/>
        <v>30886764.379999999</v>
      </c>
      <c r="DB37" s="451">
        <f t="shared" si="467"/>
        <v>10095658.6</v>
      </c>
      <c r="DC37" s="634">
        <f t="shared" si="467"/>
        <v>3199402.7700000005</v>
      </c>
      <c r="DD37" s="591">
        <f t="shared" si="467"/>
        <v>959820.83000000007</v>
      </c>
      <c r="DE37" s="634">
        <f t="shared" si="467"/>
        <v>27687361.609999999</v>
      </c>
      <c r="DF37" s="591">
        <f t="shared" si="467"/>
        <v>9135837.7699999996</v>
      </c>
      <c r="DG37" s="478">
        <f t="shared" ref="DG37:DL37" si="469">DG30+DG34</f>
        <v>624092893.42999995</v>
      </c>
      <c r="DH37" s="477">
        <f t="shared" si="469"/>
        <v>12867893.43</v>
      </c>
      <c r="DI37" s="802">
        <f t="shared" si="469"/>
        <v>611225000</v>
      </c>
      <c r="DJ37" s="451">
        <f t="shared" si="469"/>
        <v>135026743.69</v>
      </c>
      <c r="DK37" s="631">
        <f t="shared" si="469"/>
        <v>2784056.3</v>
      </c>
      <c r="DL37" s="710">
        <f t="shared" si="469"/>
        <v>132242687.39</v>
      </c>
      <c r="DM37" s="633">
        <f t="shared" si="467"/>
        <v>23989221.439999998</v>
      </c>
      <c r="DN37" s="593">
        <f t="shared" si="467"/>
        <v>9582444.4399999995</v>
      </c>
      <c r="DO37" s="621">
        <f t="shared" si="467"/>
        <v>1036000</v>
      </c>
      <c r="DP37" s="710">
        <f t="shared" si="467"/>
        <v>2664000</v>
      </c>
      <c r="DQ37" s="589">
        <f t="shared" si="467"/>
        <v>141400</v>
      </c>
      <c r="DR37" s="710">
        <f t="shared" si="467"/>
        <v>363600</v>
      </c>
      <c r="DS37" s="594">
        <f t="shared" si="467"/>
        <v>9000000</v>
      </c>
      <c r="DT37" s="593">
        <f t="shared" ref="DT37:EB37" si="470">DT30+DT34</f>
        <v>1201777</v>
      </c>
      <c r="DU37" s="451">
        <f t="shared" si="470"/>
        <v>2059305.2</v>
      </c>
      <c r="DV37" s="594">
        <f t="shared" si="470"/>
        <v>420000</v>
      </c>
      <c r="DW37" s="621">
        <f t="shared" si="470"/>
        <v>0</v>
      </c>
      <c r="DX37" s="710">
        <f t="shared" si="470"/>
        <v>0</v>
      </c>
      <c r="DY37" s="621">
        <f t="shared" si="470"/>
        <v>0</v>
      </c>
      <c r="DZ37" s="710">
        <f t="shared" si="470"/>
        <v>0</v>
      </c>
      <c r="EA37" s="682">
        <f t="shared" si="470"/>
        <v>437528.2</v>
      </c>
      <c r="EB37" s="595">
        <f t="shared" si="470"/>
        <v>1201777</v>
      </c>
      <c r="EC37" s="478">
        <f t="shared" ref="EC37:EH37" si="471">EC30+EC34</f>
        <v>6619444.4499999993</v>
      </c>
      <c r="ED37" s="477">
        <f t="shared" si="471"/>
        <v>1853444.45</v>
      </c>
      <c r="EE37" s="802">
        <f t="shared" si="471"/>
        <v>4766000</v>
      </c>
      <c r="EF37" s="451">
        <f t="shared" si="471"/>
        <v>0</v>
      </c>
      <c r="EG37" s="631">
        <f t="shared" si="471"/>
        <v>0</v>
      </c>
      <c r="EH37" s="710">
        <f t="shared" si="471"/>
        <v>0</v>
      </c>
      <c r="EI37" s="478">
        <f t="shared" ref="EI37:FD37" si="472">EI30+EI34</f>
        <v>53183487.36999999</v>
      </c>
      <c r="EJ37" s="621">
        <f t="shared" si="472"/>
        <v>481629.47</v>
      </c>
      <c r="EK37" s="707">
        <f t="shared" si="472"/>
        <v>11438700</v>
      </c>
      <c r="EL37" s="621">
        <f t="shared" si="472"/>
        <v>1263157.8999999999</v>
      </c>
      <c r="EM37" s="707">
        <f t="shared" si="472"/>
        <v>40000000</v>
      </c>
      <c r="EN37" s="478">
        <f t="shared" si="472"/>
        <v>5909707.0099999998</v>
      </c>
      <c r="EO37" s="621">
        <f t="shared" si="472"/>
        <v>238776.04000000004</v>
      </c>
      <c r="EP37" s="707">
        <f t="shared" si="472"/>
        <v>5670930.9699999997</v>
      </c>
      <c r="EQ37" s="621">
        <f t="shared" si="472"/>
        <v>0</v>
      </c>
      <c r="ER37" s="707">
        <f t="shared" si="472"/>
        <v>0</v>
      </c>
      <c r="ES37" s="478">
        <f t="shared" ref="ES37:EV37" si="473">ES30+ES34</f>
        <v>25526315.789999999</v>
      </c>
      <c r="ET37" s="477">
        <f t="shared" ref="ET37" si="474">ET30+ET34</f>
        <v>526315.79</v>
      </c>
      <c r="EU37" s="710">
        <f t="shared" ref="EU37" si="475">EU30+EU34</f>
        <v>25000000</v>
      </c>
      <c r="EV37" s="451">
        <f t="shared" si="473"/>
        <v>1400000</v>
      </c>
      <c r="EW37" s="631">
        <f t="shared" ref="EW37" si="476">EW30+EW34</f>
        <v>28865.98</v>
      </c>
      <c r="EX37" s="710">
        <f t="shared" ref="EX37" si="477">EX30+EX34</f>
        <v>1371134.02</v>
      </c>
      <c r="EY37" s="478">
        <f t="shared" si="472"/>
        <v>148784526</v>
      </c>
      <c r="EZ37" s="477">
        <f t="shared" si="472"/>
        <v>7439226</v>
      </c>
      <c r="FA37" s="802">
        <f t="shared" si="472"/>
        <v>141345300</v>
      </c>
      <c r="FB37" s="451">
        <f t="shared" si="472"/>
        <v>16318581.83</v>
      </c>
      <c r="FC37" s="631">
        <f t="shared" si="472"/>
        <v>815929.06</v>
      </c>
      <c r="FD37" s="710">
        <f t="shared" si="472"/>
        <v>15502652.77</v>
      </c>
      <c r="FE37" s="478">
        <f t="shared" ref="FE37:FJ37" si="478">FE30+FE34</f>
        <v>478686634.18000001</v>
      </c>
      <c r="FF37" s="477">
        <f t="shared" si="478"/>
        <v>23934334.18</v>
      </c>
      <c r="FG37" s="802">
        <f t="shared" si="478"/>
        <v>454752300</v>
      </c>
      <c r="FH37" s="451">
        <f t="shared" si="478"/>
        <v>153446533.38</v>
      </c>
      <c r="FI37" s="631">
        <f t="shared" si="478"/>
        <v>7672327.46</v>
      </c>
      <c r="FJ37" s="710">
        <f t="shared" si="478"/>
        <v>145774205.91999999</v>
      </c>
      <c r="FK37" s="478">
        <f t="shared" ref="FK37:HV37" si="479">FK30+FK34</f>
        <v>16238050</v>
      </c>
      <c r="FL37" s="477">
        <f t="shared" si="479"/>
        <v>16238050</v>
      </c>
      <c r="FM37" s="802">
        <f t="shared" si="479"/>
        <v>0</v>
      </c>
      <c r="FN37" s="451">
        <f t="shared" si="479"/>
        <v>0</v>
      </c>
      <c r="FO37" s="631">
        <f t="shared" si="479"/>
        <v>0</v>
      </c>
      <c r="FP37" s="710">
        <f t="shared" si="479"/>
        <v>0</v>
      </c>
      <c r="FQ37" s="478">
        <f t="shared" ref="FQ37:FV37" si="480">FQ30+FQ34</f>
        <v>6108050</v>
      </c>
      <c r="FR37" s="477">
        <f t="shared" si="480"/>
        <v>6108050</v>
      </c>
      <c r="FS37" s="802">
        <f t="shared" si="480"/>
        <v>0</v>
      </c>
      <c r="FT37" s="451">
        <f t="shared" si="480"/>
        <v>0</v>
      </c>
      <c r="FU37" s="631">
        <f t="shared" si="480"/>
        <v>0</v>
      </c>
      <c r="FV37" s="710">
        <f t="shared" si="480"/>
        <v>0</v>
      </c>
      <c r="FW37" s="692">
        <f t="shared" ref="FW37:FX37" si="481">FW30+FW34</f>
        <v>0</v>
      </c>
      <c r="FX37" s="619">
        <f t="shared" si="481"/>
        <v>0</v>
      </c>
      <c r="FY37" s="692">
        <f t="shared" ref="FY37:GF37" si="482">FY30+FY34</f>
        <v>6108050</v>
      </c>
      <c r="FZ37" s="619">
        <f t="shared" si="482"/>
        <v>0</v>
      </c>
      <c r="GA37" s="478">
        <f t="shared" si="482"/>
        <v>23112222.219999999</v>
      </c>
      <c r="GB37" s="477">
        <f t="shared" si="482"/>
        <v>6471422.2199999997</v>
      </c>
      <c r="GC37" s="741">
        <f t="shared" si="482"/>
        <v>16640800</v>
      </c>
      <c r="GD37" s="478">
        <f t="shared" ref="GD37" si="483">GD30+GD34</f>
        <v>0</v>
      </c>
      <c r="GE37" s="477">
        <f t="shared" si="482"/>
        <v>0</v>
      </c>
      <c r="GF37" s="741">
        <f t="shared" si="482"/>
        <v>0</v>
      </c>
      <c r="GG37" s="478">
        <f t="shared" si="479"/>
        <v>3149425.85</v>
      </c>
      <c r="GH37" s="477">
        <f t="shared" si="479"/>
        <v>0</v>
      </c>
      <c r="GI37" s="741">
        <f t="shared" si="479"/>
        <v>0</v>
      </c>
      <c r="GJ37" s="477">
        <f t="shared" si="479"/>
        <v>1848458.6</v>
      </c>
      <c r="GK37" s="802">
        <f t="shared" si="479"/>
        <v>1300967.25</v>
      </c>
      <c r="GL37" s="451">
        <f t="shared" si="479"/>
        <v>275559.09999999998</v>
      </c>
      <c r="GM37" s="477">
        <f t="shared" si="479"/>
        <v>0</v>
      </c>
      <c r="GN37" s="741">
        <f t="shared" si="479"/>
        <v>0</v>
      </c>
      <c r="GO37" s="477">
        <f t="shared" si="479"/>
        <v>161730.94</v>
      </c>
      <c r="GP37" s="741">
        <f t="shared" si="479"/>
        <v>113828.16</v>
      </c>
      <c r="GQ37" s="451">
        <f t="shared" ref="GQ37" si="484">GQ30+GQ34</f>
        <v>17370439.550000004</v>
      </c>
      <c r="GR37" s="477">
        <f t="shared" si="479"/>
        <v>3123025.4</v>
      </c>
      <c r="GS37" s="741">
        <f t="shared" si="479"/>
        <v>0</v>
      </c>
      <c r="GT37" s="477">
        <f t="shared" si="479"/>
        <v>8362081.4000000004</v>
      </c>
      <c r="GU37" s="802">
        <f t="shared" si="479"/>
        <v>5885332.7499999991</v>
      </c>
      <c r="GV37" s="451">
        <f t="shared" si="479"/>
        <v>2964331.1799999997</v>
      </c>
      <c r="GW37" s="477">
        <f t="shared" si="479"/>
        <v>0</v>
      </c>
      <c r="GX37" s="741">
        <f t="shared" si="479"/>
        <v>0</v>
      </c>
      <c r="GY37" s="477">
        <f t="shared" si="479"/>
        <v>1739822.98</v>
      </c>
      <c r="GZ37" s="741">
        <f t="shared" si="479"/>
        <v>1224508.2</v>
      </c>
      <c r="HA37" s="692">
        <f t="shared" si="479"/>
        <v>16088801.060000001</v>
      </c>
      <c r="HB37" s="477">
        <f t="shared" ref="HB37:HC37" si="485">HB30+HB34</f>
        <v>2838738.15</v>
      </c>
      <c r="HC37" s="802">
        <f t="shared" si="485"/>
        <v>0</v>
      </c>
      <c r="HD37" s="477">
        <f t="shared" si="479"/>
        <v>7776716.7699999996</v>
      </c>
      <c r="HE37" s="802">
        <f t="shared" si="479"/>
        <v>5473346.1399999997</v>
      </c>
      <c r="HF37" s="692">
        <f t="shared" ref="HF37:HH37" si="486">HF30+HF34</f>
        <v>2516738.7699999996</v>
      </c>
      <c r="HG37" s="477">
        <f t="shared" si="486"/>
        <v>0</v>
      </c>
      <c r="HH37" s="802">
        <f t="shared" si="486"/>
        <v>0</v>
      </c>
      <c r="HI37" s="477">
        <f t="shared" si="479"/>
        <v>1477122.3900000001</v>
      </c>
      <c r="HJ37" s="741">
        <f t="shared" si="479"/>
        <v>1039616.3799999999</v>
      </c>
      <c r="HK37" s="692">
        <f t="shared" ref="HK37" si="487">HK30+HK34</f>
        <v>1281638.49</v>
      </c>
      <c r="HL37" s="477">
        <f t="shared" si="479"/>
        <v>284287.25</v>
      </c>
      <c r="HM37" s="741">
        <f t="shared" si="479"/>
        <v>0</v>
      </c>
      <c r="HN37" s="477">
        <f t="shared" si="479"/>
        <v>585364.63</v>
      </c>
      <c r="HO37" s="802">
        <f t="shared" si="479"/>
        <v>411986.61</v>
      </c>
      <c r="HP37" s="692">
        <f t="shared" ref="HP37" si="488">HP30+HP34</f>
        <v>447592.41</v>
      </c>
      <c r="HQ37" s="477">
        <f t="shared" ref="HQ37:HR37" si="489">HQ30+HQ34</f>
        <v>0</v>
      </c>
      <c r="HR37" s="741">
        <f t="shared" si="489"/>
        <v>0</v>
      </c>
      <c r="HS37" s="477">
        <f t="shared" si="479"/>
        <v>262700.58999999997</v>
      </c>
      <c r="HT37" s="741">
        <f t="shared" si="479"/>
        <v>184891.82</v>
      </c>
      <c r="HU37" s="478">
        <f t="shared" si="479"/>
        <v>0</v>
      </c>
      <c r="HV37" s="595">
        <f t="shared" si="479"/>
        <v>0</v>
      </c>
      <c r="HW37" s="710">
        <f t="shared" ref="HW37:IB37" si="490">HW30+HW34</f>
        <v>0</v>
      </c>
      <c r="HX37" s="451">
        <f t="shared" si="490"/>
        <v>0</v>
      </c>
      <c r="HY37" s="595">
        <f t="shared" si="490"/>
        <v>0</v>
      </c>
      <c r="HZ37" s="710">
        <f t="shared" si="490"/>
        <v>0</v>
      </c>
      <c r="IA37" s="478">
        <f t="shared" si="490"/>
        <v>43925600</v>
      </c>
      <c r="IB37" s="595">
        <f t="shared" si="490"/>
        <v>12299200</v>
      </c>
      <c r="IC37" s="710">
        <f t="shared" ref="IC37:IF37" si="491">IC30+IC34</f>
        <v>31626400</v>
      </c>
      <c r="ID37" s="451">
        <f t="shared" si="491"/>
        <v>0</v>
      </c>
      <c r="IE37" s="595">
        <f t="shared" si="491"/>
        <v>0</v>
      </c>
      <c r="IF37" s="710">
        <f t="shared" si="491"/>
        <v>0</v>
      </c>
      <c r="IG37" s="478">
        <f t="shared" ref="IG37:IL37" si="492">IG30+IG34</f>
        <v>5672500</v>
      </c>
      <c r="IH37" s="595">
        <f t="shared" si="492"/>
        <v>1588500</v>
      </c>
      <c r="II37" s="710">
        <f t="shared" si="492"/>
        <v>4084000</v>
      </c>
      <c r="IJ37" s="451">
        <f t="shared" si="492"/>
        <v>3566912.97</v>
      </c>
      <c r="IK37" s="595">
        <f t="shared" si="492"/>
        <v>998861.39</v>
      </c>
      <c r="IL37" s="710">
        <f t="shared" si="492"/>
        <v>2568051.58</v>
      </c>
      <c r="IM37" s="633">
        <f t="shared" ref="IM37:JK37" si="493">IM30+IM34</f>
        <v>11145520.630000001</v>
      </c>
      <c r="IN37" s="595">
        <f t="shared" si="493"/>
        <v>3120761.0700000003</v>
      </c>
      <c r="IO37" s="710">
        <f t="shared" si="493"/>
        <v>8024759.5600000005</v>
      </c>
      <c r="IP37" s="451">
        <f t="shared" si="493"/>
        <v>5722427.4299999997</v>
      </c>
      <c r="IQ37" s="593">
        <f t="shared" si="493"/>
        <v>1602287.56</v>
      </c>
      <c r="IR37" s="710">
        <f t="shared" si="493"/>
        <v>4120139.87</v>
      </c>
      <c r="IS37" s="478">
        <f t="shared" si="493"/>
        <v>15033279.370000003</v>
      </c>
      <c r="IT37" s="593">
        <f t="shared" si="493"/>
        <v>4209338.9400000004</v>
      </c>
      <c r="IU37" s="710">
        <f t="shared" si="493"/>
        <v>10823940.430000002</v>
      </c>
      <c r="IV37" s="451">
        <f t="shared" si="493"/>
        <v>12788765.390000001</v>
      </c>
      <c r="IW37" s="593">
        <f t="shared" si="493"/>
        <v>3580871.9000000004</v>
      </c>
      <c r="IX37" s="710">
        <f t="shared" si="493"/>
        <v>9207893.4900000021</v>
      </c>
      <c r="IY37" s="692">
        <f t="shared" si="493"/>
        <v>10880027.660000002</v>
      </c>
      <c r="IZ37" s="593">
        <f t="shared" si="493"/>
        <v>3046422.7500000009</v>
      </c>
      <c r="JA37" s="710">
        <f t="shared" si="493"/>
        <v>7833604.9099999992</v>
      </c>
      <c r="JB37" s="619">
        <f t="shared" si="493"/>
        <v>9531874.1100000013</v>
      </c>
      <c r="JC37" s="593">
        <f t="shared" si="493"/>
        <v>2668937.86</v>
      </c>
      <c r="JD37" s="710">
        <f t="shared" si="493"/>
        <v>6862936.25</v>
      </c>
      <c r="JE37" s="619">
        <f t="shared" si="493"/>
        <v>4153251.71</v>
      </c>
      <c r="JF37" s="593">
        <f t="shared" si="493"/>
        <v>1162916.19</v>
      </c>
      <c r="JG37" s="710">
        <f t="shared" si="493"/>
        <v>2990335.52</v>
      </c>
      <c r="JH37" s="619">
        <f t="shared" si="493"/>
        <v>3256891.2800000003</v>
      </c>
      <c r="JI37" s="593">
        <f t="shared" si="493"/>
        <v>911934.04</v>
      </c>
      <c r="JJ37" s="710">
        <f t="shared" si="493"/>
        <v>2344957.2400000002</v>
      </c>
      <c r="JK37" s="478">
        <f t="shared" si="493"/>
        <v>93825120</v>
      </c>
      <c r="JL37" s="472">
        <f>JL30+JL34</f>
        <v>69613420</v>
      </c>
      <c r="JM37" s="741">
        <f>JM30+JM34</f>
        <v>24211700</v>
      </c>
      <c r="JN37" s="451">
        <f t="shared" ref="JN37" si="494">JN30+JN34</f>
        <v>38738988.590000004</v>
      </c>
      <c r="JO37" s="472">
        <f>JO30+JO34</f>
        <v>28742339.82</v>
      </c>
      <c r="JP37" s="741">
        <f>JP30+JP34</f>
        <v>9996648.7699999996</v>
      </c>
      <c r="JQ37" s="346">
        <f t="shared" ref="JQ37:KE37" si="495">JQ30+JQ34</f>
        <v>418244.80000000005</v>
      </c>
      <c r="JR37" s="472">
        <f>JR30+JR34</f>
        <v>0</v>
      </c>
      <c r="JS37" s="741">
        <f>JS30+JS34</f>
        <v>0</v>
      </c>
      <c r="JT37" s="593">
        <f t="shared" si="495"/>
        <v>195624.32000000001</v>
      </c>
      <c r="JU37" s="737">
        <f t="shared" si="495"/>
        <v>222620.48</v>
      </c>
      <c r="JV37" s="346">
        <f t="shared" si="495"/>
        <v>0</v>
      </c>
      <c r="JW37" s="472">
        <f>JW30+JW34</f>
        <v>0</v>
      </c>
      <c r="JX37" s="741">
        <f>JX30+JX34</f>
        <v>0</v>
      </c>
      <c r="JY37" s="472">
        <f t="shared" si="495"/>
        <v>0</v>
      </c>
      <c r="JZ37" s="741">
        <f t="shared" si="495"/>
        <v>0</v>
      </c>
      <c r="KA37" s="346">
        <f t="shared" si="495"/>
        <v>63009355.200000003</v>
      </c>
      <c r="KB37" s="472">
        <f>KB30+KB34</f>
        <v>17640000</v>
      </c>
      <c r="KC37" s="741">
        <f>KC30+KC34</f>
        <v>45360000</v>
      </c>
      <c r="KD37" s="593">
        <f t="shared" si="495"/>
        <v>4375.68</v>
      </c>
      <c r="KE37" s="802">
        <f t="shared" si="495"/>
        <v>4979.5200000000004</v>
      </c>
      <c r="KF37" s="346">
        <f t="shared" ref="KF37:KU37" si="496">KF30+KF34</f>
        <v>4958184.66</v>
      </c>
      <c r="KG37" s="472">
        <f t="shared" ref="KG37:KH37" si="497">KG30+KG34</f>
        <v>1388291.71</v>
      </c>
      <c r="KH37" s="741">
        <f t="shared" si="497"/>
        <v>3569892.9499999997</v>
      </c>
      <c r="KI37" s="631">
        <f t="shared" si="496"/>
        <v>0</v>
      </c>
      <c r="KJ37" s="710">
        <f t="shared" si="496"/>
        <v>0</v>
      </c>
      <c r="KK37" s="590">
        <f t="shared" si="496"/>
        <v>63009355.200000003</v>
      </c>
      <c r="KL37" s="472">
        <f>KL30+KL34</f>
        <v>17640000</v>
      </c>
      <c r="KM37" s="741">
        <f>KM30+KM34</f>
        <v>45360000</v>
      </c>
      <c r="KN37" s="593">
        <f t="shared" si="496"/>
        <v>4375.68</v>
      </c>
      <c r="KO37" s="710">
        <f t="shared" si="496"/>
        <v>4979.5200000000004</v>
      </c>
      <c r="KP37" s="590">
        <f t="shared" si="496"/>
        <v>4958184.66</v>
      </c>
      <c r="KQ37" s="472">
        <f>KQ30+KQ34</f>
        <v>1388291.71</v>
      </c>
      <c r="KR37" s="741">
        <f>KR30+KR34</f>
        <v>3569892.9499999997</v>
      </c>
      <c r="KS37" s="593">
        <f t="shared" si="496"/>
        <v>0</v>
      </c>
      <c r="KT37" s="737">
        <f t="shared" si="496"/>
        <v>0</v>
      </c>
      <c r="KU37" s="590">
        <f t="shared" si="496"/>
        <v>0</v>
      </c>
      <c r="KV37" s="472">
        <f>KV30+KV34</f>
        <v>0</v>
      </c>
      <c r="KW37" s="741">
        <f>KW30+KW34</f>
        <v>0</v>
      </c>
      <c r="KX37" s="593">
        <f t="shared" ref="KX37:LD37" si="498">KX30+KX34</f>
        <v>0</v>
      </c>
      <c r="KY37" s="802">
        <f t="shared" si="498"/>
        <v>0</v>
      </c>
      <c r="KZ37" s="590">
        <f t="shared" si="498"/>
        <v>0</v>
      </c>
      <c r="LA37" s="472">
        <f>LA30+LA34</f>
        <v>0</v>
      </c>
      <c r="LB37" s="741">
        <f>LB30+LB34</f>
        <v>0</v>
      </c>
      <c r="LC37" s="593">
        <f t="shared" si="498"/>
        <v>0</v>
      </c>
      <c r="LD37" s="737">
        <f t="shared" si="498"/>
        <v>0</v>
      </c>
      <c r="LE37" s="451">
        <f t="shared" ref="LE37:MM37" si="499">LE30+LE34</f>
        <v>513298723.05000001</v>
      </c>
      <c r="LF37" s="472">
        <f>LF30+LF34</f>
        <v>130095926.23</v>
      </c>
      <c r="LG37" s="707">
        <f t="shared" si="499"/>
        <v>334532500</v>
      </c>
      <c r="LH37" s="472">
        <f>LH30+LH34</f>
        <v>13627696.82</v>
      </c>
      <c r="LI37" s="707">
        <f t="shared" ref="LI37" si="500">LI30+LI34</f>
        <v>35042600</v>
      </c>
      <c r="LJ37" s="621">
        <f>LJ30+LJ34</f>
        <v>0</v>
      </c>
      <c r="LK37" s="451">
        <f t="shared" ref="LK37" si="501">LK30+LK34</f>
        <v>477216763.84000003</v>
      </c>
      <c r="LL37" s="621">
        <f t="shared" si="499"/>
        <v>130095926.23</v>
      </c>
      <c r="LM37" s="707">
        <f t="shared" si="499"/>
        <v>334532500</v>
      </c>
      <c r="LN37" s="621">
        <f t="shared" ref="LN37:LO37" si="502">LN30+LN34</f>
        <v>3524738.08</v>
      </c>
      <c r="LO37" s="707">
        <f t="shared" si="502"/>
        <v>9063599.5299999993</v>
      </c>
      <c r="LP37" s="472">
        <f t="shared" ref="LP37" si="503">LP30+LP34</f>
        <v>0</v>
      </c>
      <c r="LQ37" s="451">
        <f t="shared" si="499"/>
        <v>0</v>
      </c>
      <c r="LR37" s="472">
        <f>LR30+LR34</f>
        <v>0</v>
      </c>
      <c r="LS37" s="588">
        <f t="shared" ref="LS37" si="504">LS30+LS34</f>
        <v>0</v>
      </c>
      <c r="LT37" s="472">
        <f t="shared" si="499"/>
        <v>0</v>
      </c>
      <c r="LU37" s="707">
        <f t="shared" si="499"/>
        <v>0</v>
      </c>
      <c r="LV37" s="451">
        <f t="shared" si="499"/>
        <v>0</v>
      </c>
      <c r="LW37" s="472">
        <f>LW30+LW34</f>
        <v>0</v>
      </c>
      <c r="LX37" s="685"/>
      <c r="LY37" s="621">
        <f t="shared" si="499"/>
        <v>0</v>
      </c>
      <c r="LZ37" s="707">
        <f t="shared" si="499"/>
        <v>0</v>
      </c>
      <c r="MA37" s="451">
        <f t="shared" si="499"/>
        <v>5050157.8899999997</v>
      </c>
      <c r="MB37" s="477">
        <f t="shared" si="499"/>
        <v>5050157.8899999997</v>
      </c>
      <c r="MC37" s="477">
        <f t="shared" si="499"/>
        <v>0</v>
      </c>
      <c r="MD37" s="710">
        <f t="shared" si="499"/>
        <v>0</v>
      </c>
      <c r="ME37" s="451">
        <f t="shared" si="499"/>
        <v>5050157.8899999997</v>
      </c>
      <c r="MF37" s="685">
        <f t="shared" si="499"/>
        <v>5050157.8899999997</v>
      </c>
      <c r="MG37" s="685">
        <f t="shared" si="499"/>
        <v>0</v>
      </c>
      <c r="MH37" s="707">
        <f t="shared" si="499"/>
        <v>0</v>
      </c>
      <c r="MI37" s="619">
        <f t="shared" si="499"/>
        <v>0</v>
      </c>
      <c r="MJ37" s="619">
        <f t="shared" si="499"/>
        <v>0</v>
      </c>
      <c r="MK37" s="692">
        <f t="shared" si="499"/>
        <v>5050157.8899999997</v>
      </c>
      <c r="ML37" s="619">
        <f t="shared" si="499"/>
        <v>5050157.8899999997</v>
      </c>
      <c r="MM37" s="451">
        <f t="shared" si="499"/>
        <v>238064736.84</v>
      </c>
      <c r="MN37" s="593">
        <f t="shared" ref="MN37:NB37" si="505">MN30+MN34</f>
        <v>11608236.84</v>
      </c>
      <c r="MO37" s="710">
        <f t="shared" si="505"/>
        <v>220556500</v>
      </c>
      <c r="MP37" s="593">
        <f t="shared" si="505"/>
        <v>5900000</v>
      </c>
      <c r="MQ37" s="451">
        <f t="shared" ref="MQ37" si="506">MQ30+MQ34</f>
        <v>33207001.859999999</v>
      </c>
      <c r="MR37" s="593">
        <f t="shared" si="505"/>
        <v>1365350.09</v>
      </c>
      <c r="MS37" s="710">
        <f t="shared" si="505"/>
        <v>25941651.77</v>
      </c>
      <c r="MT37" s="593">
        <f t="shared" si="505"/>
        <v>5900000</v>
      </c>
      <c r="MU37" s="451">
        <f t="shared" si="505"/>
        <v>253210847</v>
      </c>
      <c r="MV37" s="593">
        <f t="shared" si="505"/>
        <v>5220000</v>
      </c>
      <c r="MW37" s="710">
        <f t="shared" si="505"/>
        <v>99180000</v>
      </c>
      <c r="MX37" s="593">
        <f t="shared" si="505"/>
        <v>148810847</v>
      </c>
      <c r="MY37" s="635">
        <f t="shared" si="505"/>
        <v>176806505.78999999</v>
      </c>
      <c r="MZ37" s="593">
        <f t="shared" si="505"/>
        <v>1704851.08</v>
      </c>
      <c r="NA37" s="710">
        <f t="shared" si="505"/>
        <v>32392170.810000002</v>
      </c>
      <c r="NB37" s="593">
        <f t="shared" si="505"/>
        <v>142709483.90000001</v>
      </c>
      <c r="NC37" s="592">
        <f t="shared" ref="NC37:NR37" si="507">NC30+NC34</f>
        <v>139210847</v>
      </c>
      <c r="ND37" s="595">
        <f t="shared" si="507"/>
        <v>0</v>
      </c>
      <c r="NE37" s="710">
        <f t="shared" si="507"/>
        <v>0</v>
      </c>
      <c r="NF37" s="593">
        <f t="shared" ref="NF37" si="508">NF30+NF34</f>
        <v>139210847</v>
      </c>
      <c r="NG37" s="590">
        <f t="shared" si="507"/>
        <v>133109483.90000002</v>
      </c>
      <c r="NH37" s="682">
        <f t="shared" si="507"/>
        <v>0</v>
      </c>
      <c r="NI37" s="710">
        <f t="shared" si="507"/>
        <v>0</v>
      </c>
      <c r="NJ37" s="593">
        <f t="shared" ref="NJ37" si="509">NJ30+NJ34</f>
        <v>133109483.90000002</v>
      </c>
      <c r="NK37" s="590">
        <f t="shared" si="507"/>
        <v>114000000</v>
      </c>
      <c r="NL37" s="593">
        <f t="shared" si="507"/>
        <v>5220000</v>
      </c>
      <c r="NM37" s="710">
        <f t="shared" si="507"/>
        <v>99180000</v>
      </c>
      <c r="NN37" s="593">
        <f t="shared" ref="NN37" si="510">NN30+NN34</f>
        <v>9600000</v>
      </c>
      <c r="NO37" s="590">
        <f t="shared" si="507"/>
        <v>43697021.890000001</v>
      </c>
      <c r="NP37" s="593">
        <f t="shared" si="507"/>
        <v>1704851.08</v>
      </c>
      <c r="NQ37" s="710">
        <f t="shared" si="507"/>
        <v>32392170.810000002</v>
      </c>
      <c r="NR37" s="593">
        <f t="shared" si="507"/>
        <v>9600000</v>
      </c>
      <c r="NS37" s="451">
        <f t="shared" ref="NS37" si="511">NS30+NS34</f>
        <v>393161527.78000003</v>
      </c>
      <c r="NT37" s="472">
        <f t="shared" ref="NT37:NV37" si="512">NT30+NT34</f>
        <v>110085227.78</v>
      </c>
      <c r="NU37" s="818">
        <f t="shared" si="512"/>
        <v>283076300</v>
      </c>
      <c r="NV37" s="451">
        <f t="shared" si="512"/>
        <v>17248383.600000001</v>
      </c>
      <c r="NW37" s="472">
        <f t="shared" ref="NW37:NY37" si="513">NW30+NW34</f>
        <v>4829547.42</v>
      </c>
      <c r="NX37" s="818">
        <f t="shared" si="513"/>
        <v>12418836.18</v>
      </c>
      <c r="NY37" s="451">
        <f t="shared" si="513"/>
        <v>143940277.77000001</v>
      </c>
      <c r="NZ37" s="472">
        <f>NZ30+NZ34</f>
        <v>7794033.3300000001</v>
      </c>
      <c r="OA37" s="818">
        <f>OA30+OA34</f>
        <v>20041800</v>
      </c>
      <c r="OB37" s="472">
        <f t="shared" ref="OB37:OJ37" si="514">OB30+OB34</f>
        <v>32509244.440000001</v>
      </c>
      <c r="OC37" s="818">
        <f t="shared" si="514"/>
        <v>83595200</v>
      </c>
      <c r="OD37" s="472">
        <f>OD30+OD34</f>
        <v>0</v>
      </c>
      <c r="OE37" s="818">
        <f>OE30+OE34</f>
        <v>0</v>
      </c>
      <c r="OF37" s="451">
        <f t="shared" ref="OF37" si="515">OF30+OF34</f>
        <v>7270928.0100000007</v>
      </c>
      <c r="OG37" s="472">
        <f>OG30+OG34</f>
        <v>0</v>
      </c>
      <c r="OH37" s="818">
        <f>OH30+OH34</f>
        <v>0</v>
      </c>
      <c r="OI37" s="472">
        <f t="shared" si="514"/>
        <v>2035859.8499999999</v>
      </c>
      <c r="OJ37" s="818">
        <f t="shared" si="514"/>
        <v>5235068.1599999992</v>
      </c>
      <c r="OK37" s="472">
        <f>OK30+OK34</f>
        <v>0</v>
      </c>
      <c r="OL37" s="818">
        <f>OL30+OL34</f>
        <v>0</v>
      </c>
      <c r="OM37" s="619">
        <f t="shared" ref="OM37" si="516">OM30+OM34</f>
        <v>143940277.77000001</v>
      </c>
      <c r="ON37" s="472">
        <f>ON30+ON34</f>
        <v>7794033.3300000001</v>
      </c>
      <c r="OO37" s="818">
        <f>OO30+OO34</f>
        <v>20041800</v>
      </c>
      <c r="OP37" s="472">
        <f t="shared" ref="OP37:OX37" si="517">OP30+OP34</f>
        <v>32509244.440000001</v>
      </c>
      <c r="OQ37" s="818">
        <f t="shared" si="517"/>
        <v>83595200</v>
      </c>
      <c r="OR37" s="472">
        <f>OR30+OR34</f>
        <v>0</v>
      </c>
      <c r="OS37" s="818">
        <f>OS30+OS34</f>
        <v>0</v>
      </c>
      <c r="OT37" s="619">
        <f t="shared" ref="OT37" si="518">OT30+OT34</f>
        <v>7270928.0100000007</v>
      </c>
      <c r="OU37" s="472">
        <f>OU30+OU34</f>
        <v>0</v>
      </c>
      <c r="OV37" s="818">
        <f>OV30+OV34</f>
        <v>0</v>
      </c>
      <c r="OW37" s="472">
        <f t="shared" si="517"/>
        <v>2035859.8499999999</v>
      </c>
      <c r="OX37" s="818">
        <f t="shared" si="517"/>
        <v>5235068.1599999992</v>
      </c>
      <c r="OY37" s="472">
        <f>OY30+OY34</f>
        <v>0</v>
      </c>
      <c r="OZ37" s="818">
        <f>OZ30+OZ34</f>
        <v>0</v>
      </c>
      <c r="PA37" s="619">
        <f t="shared" ref="PA37" si="519">PA30+PA34</f>
        <v>0</v>
      </c>
      <c r="PB37" s="472">
        <f>PB30+PB34</f>
        <v>0</v>
      </c>
      <c r="PC37" s="818">
        <f>PC30+PC34</f>
        <v>0</v>
      </c>
      <c r="PD37" s="472">
        <f t="shared" ref="PD37:PE37" si="520">PD30+PD34</f>
        <v>0</v>
      </c>
      <c r="PE37" s="818">
        <f t="shared" si="520"/>
        <v>0</v>
      </c>
      <c r="PF37" s="472">
        <f>PF30+PF34</f>
        <v>0</v>
      </c>
      <c r="PG37" s="818">
        <f>PG30+PG34</f>
        <v>0</v>
      </c>
      <c r="PH37" s="619">
        <f t="shared" ref="PH37" si="521">PH30+PH34</f>
        <v>0</v>
      </c>
      <c r="PI37" s="472">
        <f>PI30+PI34</f>
        <v>0</v>
      </c>
      <c r="PJ37" s="818">
        <f>PJ30+PJ34</f>
        <v>0</v>
      </c>
      <c r="PK37" s="472">
        <f t="shared" ref="PK37:PL37" si="522">PK30+PK34</f>
        <v>0</v>
      </c>
      <c r="PL37" s="818">
        <f t="shared" si="522"/>
        <v>0</v>
      </c>
      <c r="PM37" s="472">
        <f>PM30+PM34</f>
        <v>0</v>
      </c>
      <c r="PN37" s="818">
        <f>PN30+PN34</f>
        <v>0</v>
      </c>
      <c r="PO37" s="478">
        <f t="shared" ref="PO37:PU37" si="523">PO30+PO34</f>
        <v>114521875.79000001</v>
      </c>
      <c r="PP37" s="477">
        <f t="shared" si="523"/>
        <v>2361275.79</v>
      </c>
      <c r="PQ37" s="802">
        <f t="shared" si="523"/>
        <v>112160600</v>
      </c>
      <c r="PR37" s="451">
        <f t="shared" si="523"/>
        <v>32872646.16</v>
      </c>
      <c r="PS37" s="631">
        <f t="shared" si="523"/>
        <v>677786.53</v>
      </c>
      <c r="PT37" s="710">
        <f t="shared" si="523"/>
        <v>32194859.629999999</v>
      </c>
      <c r="PU37" s="451">
        <f t="shared" si="523"/>
        <v>13325972.219999999</v>
      </c>
      <c r="PV37" s="472">
        <f>PV30+PV34</f>
        <v>3731272.2199999997</v>
      </c>
      <c r="PW37" s="817">
        <f>PW30+PW34</f>
        <v>9594700</v>
      </c>
      <c r="PX37" s="451">
        <f t="shared" ref="PX37" si="524">PX30+PX34</f>
        <v>0</v>
      </c>
      <c r="PY37" s="621">
        <f>PY30+PY34</f>
        <v>0</v>
      </c>
      <c r="PZ37" s="707">
        <f>PZ30+PZ34</f>
        <v>0</v>
      </c>
      <c r="QA37" s="451">
        <f t="shared" ref="QA37" si="525">QA30+QA34</f>
        <v>0</v>
      </c>
      <c r="QB37" s="621">
        <f t="shared" ref="QB37:QD37" si="526">QB30+QB34</f>
        <v>0</v>
      </c>
      <c r="QC37" s="707">
        <f t="shared" si="526"/>
        <v>0</v>
      </c>
      <c r="QD37" s="451">
        <f t="shared" si="526"/>
        <v>0</v>
      </c>
      <c r="QE37" s="621">
        <f t="shared" ref="QE37:QG37" si="527">QE30+QE34</f>
        <v>0</v>
      </c>
      <c r="QF37" s="707">
        <f t="shared" si="527"/>
        <v>0</v>
      </c>
      <c r="QG37" s="619">
        <f t="shared" si="527"/>
        <v>0</v>
      </c>
      <c r="QH37" s="472">
        <f t="shared" ref="QH37:QJ37" si="528">QH30+QH34</f>
        <v>0</v>
      </c>
      <c r="QI37" s="818">
        <f t="shared" si="528"/>
        <v>0</v>
      </c>
      <c r="QJ37" s="619">
        <f t="shared" si="528"/>
        <v>0</v>
      </c>
      <c r="QK37" s="472">
        <f t="shared" ref="QK37:QM37" si="529">QK30+QK34</f>
        <v>0</v>
      </c>
      <c r="QL37" s="818">
        <f t="shared" si="529"/>
        <v>0</v>
      </c>
      <c r="QM37" s="619">
        <f t="shared" si="529"/>
        <v>0</v>
      </c>
      <c r="QN37" s="685">
        <f>QN30+QN34</f>
        <v>0</v>
      </c>
      <c r="QO37" s="817">
        <f>QO30+QO34</f>
        <v>0</v>
      </c>
      <c r="QP37" s="619">
        <f t="shared" ref="QP37" si="530">QP30+QP34</f>
        <v>0</v>
      </c>
      <c r="QQ37" s="621">
        <f>QQ30+QQ34</f>
        <v>0</v>
      </c>
      <c r="QR37" s="707">
        <f>QR30+QR34</f>
        <v>0</v>
      </c>
      <c r="QS37" s="451">
        <f t="shared" ref="QS37:RN37" si="531">QS30+QS34</f>
        <v>775944806.00999999</v>
      </c>
      <c r="QT37" s="451">
        <f t="shared" si="531"/>
        <v>124187111.38999999</v>
      </c>
      <c r="QU37" s="451">
        <f t="shared" si="531"/>
        <v>208195421.25999999</v>
      </c>
      <c r="QV37" s="451">
        <f t="shared" si="531"/>
        <v>60149626.360000014</v>
      </c>
      <c r="QW37" s="615">
        <f t="shared" si="531"/>
        <v>163761218.24000004</v>
      </c>
      <c r="QX37" s="590">
        <f t="shared" si="531"/>
        <v>53194689.690000013</v>
      </c>
      <c r="QY37" s="615">
        <f t="shared" si="531"/>
        <v>44434203.019999996</v>
      </c>
      <c r="QZ37" s="590">
        <f t="shared" si="531"/>
        <v>6954936.6699999999</v>
      </c>
      <c r="RA37" s="346">
        <f t="shared" si="531"/>
        <v>11267783454</v>
      </c>
      <c r="RB37" s="588">
        <f t="shared" si="531"/>
        <v>11154569654</v>
      </c>
      <c r="RC37" s="477">
        <f t="shared" si="531"/>
        <v>113213800</v>
      </c>
      <c r="RD37" s="346">
        <f t="shared" si="531"/>
        <v>6640855519.2800007</v>
      </c>
      <c r="RE37" s="588">
        <f t="shared" si="531"/>
        <v>6576819936</v>
      </c>
      <c r="RF37" s="477">
        <f t="shared" si="531"/>
        <v>64035583.280000001</v>
      </c>
      <c r="RG37" s="633">
        <f t="shared" si="531"/>
        <v>10643190454</v>
      </c>
      <c r="RH37" s="451">
        <f t="shared" si="531"/>
        <v>6293420136</v>
      </c>
      <c r="RI37" s="520">
        <f t="shared" si="531"/>
        <v>334969400</v>
      </c>
      <c r="RJ37" s="451">
        <f t="shared" si="531"/>
        <v>162113300</v>
      </c>
      <c r="RK37" s="478">
        <f t="shared" si="531"/>
        <v>144369000</v>
      </c>
      <c r="RL37" s="451">
        <f t="shared" si="531"/>
        <v>99286000</v>
      </c>
      <c r="RM37" s="633">
        <f t="shared" si="531"/>
        <v>28803000</v>
      </c>
      <c r="RN37" s="451">
        <f t="shared" si="531"/>
        <v>12567161.530000001</v>
      </c>
      <c r="RO37" s="633">
        <f t="shared" ref="RO37:TD37" si="532">RO30+RO34</f>
        <v>143000</v>
      </c>
      <c r="RP37" s="451">
        <f t="shared" si="532"/>
        <v>5184</v>
      </c>
      <c r="RQ37" s="633">
        <f t="shared" si="532"/>
        <v>0</v>
      </c>
      <c r="RR37" s="451">
        <f t="shared" si="532"/>
        <v>0</v>
      </c>
      <c r="RS37" s="518">
        <f t="shared" si="532"/>
        <v>8573600</v>
      </c>
      <c r="RT37" s="635">
        <f t="shared" si="532"/>
        <v>8090928</v>
      </c>
      <c r="RU37" s="518">
        <f t="shared" si="532"/>
        <v>11813200</v>
      </c>
      <c r="RV37" s="635">
        <f t="shared" si="532"/>
        <v>11462148</v>
      </c>
      <c r="RW37" s="518">
        <f t="shared" ref="RW37:RX37" si="533">RW30+RW34</f>
        <v>0</v>
      </c>
      <c r="RX37" s="635">
        <f t="shared" si="533"/>
        <v>0</v>
      </c>
      <c r="RY37" s="346">
        <f t="shared" si="532"/>
        <v>95921800</v>
      </c>
      <c r="RZ37" s="477">
        <f t="shared" si="532"/>
        <v>32040800</v>
      </c>
      <c r="SA37" s="477">
        <f t="shared" ref="SA37" si="534">SA30+SA34</f>
        <v>840000</v>
      </c>
      <c r="SB37" s="1648">
        <f t="shared" si="532"/>
        <v>63041000</v>
      </c>
      <c r="SC37" s="346">
        <f t="shared" si="532"/>
        <v>53910661.750000007</v>
      </c>
      <c r="SD37" s="451">
        <f t="shared" si="532"/>
        <v>22000500</v>
      </c>
      <c r="SE37" s="478">
        <f t="shared" ref="SE37" si="535">SE30+SE34</f>
        <v>0</v>
      </c>
      <c r="SF37" s="451">
        <f t="shared" si="532"/>
        <v>31910161.75</v>
      </c>
      <c r="SG37" s="346">
        <f t="shared" si="532"/>
        <v>1454752331.4400001</v>
      </c>
      <c r="SH37" s="518">
        <f t="shared" si="532"/>
        <v>193374985.08000001</v>
      </c>
      <c r="SI37" s="346">
        <f t="shared" ref="SI37:SZ37" si="536">SI30+SI34</f>
        <v>0</v>
      </c>
      <c r="SJ37" s="589">
        <f t="shared" si="536"/>
        <v>0</v>
      </c>
      <c r="SK37" s="710">
        <f t="shared" si="536"/>
        <v>0</v>
      </c>
      <c r="SL37" s="346">
        <f t="shared" si="536"/>
        <v>0</v>
      </c>
      <c r="SM37" s="589">
        <f t="shared" ref="SM37:SN37" si="537">SM30+SM34</f>
        <v>0</v>
      </c>
      <c r="SN37" s="710">
        <f t="shared" si="537"/>
        <v>0</v>
      </c>
      <c r="SO37" s="346">
        <f t="shared" si="536"/>
        <v>240000000</v>
      </c>
      <c r="SP37" s="710">
        <f t="shared" si="536"/>
        <v>240000000</v>
      </c>
      <c r="SQ37" s="346">
        <f t="shared" si="536"/>
        <v>39903656.670000002</v>
      </c>
      <c r="SR37" s="710">
        <f t="shared" si="536"/>
        <v>39903656.670000002</v>
      </c>
      <c r="SS37" s="618">
        <f t="shared" si="536"/>
        <v>0</v>
      </c>
      <c r="ST37" s="710">
        <f t="shared" si="536"/>
        <v>0</v>
      </c>
      <c r="SU37" s="618">
        <f t="shared" si="536"/>
        <v>0</v>
      </c>
      <c r="SV37" s="710">
        <f t="shared" si="536"/>
        <v>0</v>
      </c>
      <c r="SW37" s="618">
        <f t="shared" si="536"/>
        <v>0</v>
      </c>
      <c r="SX37" s="618">
        <f t="shared" si="536"/>
        <v>0</v>
      </c>
      <c r="SY37" s="618">
        <f t="shared" si="536"/>
        <v>0</v>
      </c>
      <c r="SZ37" s="618">
        <f t="shared" si="536"/>
        <v>0</v>
      </c>
      <c r="TA37" s="346">
        <f t="shared" si="532"/>
        <v>846087457</v>
      </c>
      <c r="TB37" s="707">
        <f t="shared" si="532"/>
        <v>846087457</v>
      </c>
      <c r="TC37" s="346">
        <f t="shared" si="532"/>
        <v>132619797.41000001</v>
      </c>
      <c r="TD37" s="707">
        <f t="shared" si="532"/>
        <v>132619797.41000001</v>
      </c>
      <c r="TE37" s="346">
        <f t="shared" ref="TE37:VL37" si="538">TE30+TE34</f>
        <v>15000000</v>
      </c>
      <c r="TF37" s="707">
        <f t="shared" si="538"/>
        <v>15000000</v>
      </c>
      <c r="TG37" s="346">
        <f t="shared" si="538"/>
        <v>15000000</v>
      </c>
      <c r="TH37" s="707">
        <f t="shared" si="538"/>
        <v>15000000</v>
      </c>
      <c r="TI37" s="590">
        <f t="shared" si="538"/>
        <v>0</v>
      </c>
      <c r="TJ37" s="590">
        <f t="shared" si="538"/>
        <v>0</v>
      </c>
      <c r="TK37" s="590">
        <f t="shared" si="538"/>
        <v>15000000</v>
      </c>
      <c r="TL37" s="590">
        <f t="shared" si="538"/>
        <v>15000000</v>
      </c>
      <c r="TM37" s="346">
        <f t="shared" si="538"/>
        <v>120000000</v>
      </c>
      <c r="TN37" s="707">
        <f t="shared" si="538"/>
        <v>120000000</v>
      </c>
      <c r="TO37" s="346">
        <f t="shared" si="538"/>
        <v>0</v>
      </c>
      <c r="TP37" s="707">
        <f t="shared" si="538"/>
        <v>0</v>
      </c>
      <c r="TQ37" s="346">
        <f t="shared" ref="TQ37:TY37" si="539">TQ30+TQ34</f>
        <v>0</v>
      </c>
      <c r="TR37" s="707">
        <f t="shared" si="539"/>
        <v>0</v>
      </c>
      <c r="TS37" s="346">
        <f t="shared" si="539"/>
        <v>0</v>
      </c>
      <c r="TT37" s="707">
        <f t="shared" si="539"/>
        <v>0</v>
      </c>
      <c r="TU37" s="590">
        <f t="shared" si="539"/>
        <v>0</v>
      </c>
      <c r="TV37" s="590">
        <f t="shared" si="539"/>
        <v>0</v>
      </c>
      <c r="TW37" s="590">
        <f t="shared" si="539"/>
        <v>0</v>
      </c>
      <c r="TX37" s="590">
        <f t="shared" si="539"/>
        <v>0</v>
      </c>
      <c r="TY37" s="346">
        <f t="shared" si="539"/>
        <v>71940000</v>
      </c>
      <c r="TZ37" s="593">
        <f t="shared" ref="TZ37:UB37" si="540">TZ30+TZ34</f>
        <v>27440000</v>
      </c>
      <c r="UA37" s="710">
        <f t="shared" si="540"/>
        <v>44500000</v>
      </c>
      <c r="UB37" s="346">
        <f t="shared" si="540"/>
        <v>0</v>
      </c>
      <c r="UC37" s="593">
        <f t="shared" ref="UC37:UD37" si="541">UC30+UC34</f>
        <v>0</v>
      </c>
      <c r="UD37" s="710">
        <f t="shared" si="541"/>
        <v>0</v>
      </c>
      <c r="UE37" s="346">
        <f t="shared" ref="UE37:UG37" si="542">UE30+UE34</f>
        <v>150500000</v>
      </c>
      <c r="UF37" s="593">
        <f t="shared" si="542"/>
        <v>60500000</v>
      </c>
      <c r="UG37" s="710">
        <f t="shared" si="542"/>
        <v>90000000</v>
      </c>
      <c r="UH37" s="346">
        <f t="shared" ref="UH37:UJ37" si="543">UH30+UH34</f>
        <v>749900</v>
      </c>
      <c r="UI37" s="593">
        <f t="shared" si="543"/>
        <v>0</v>
      </c>
      <c r="UJ37" s="710">
        <f t="shared" si="543"/>
        <v>749900</v>
      </c>
      <c r="UK37" s="618">
        <f t="shared" ref="UK37:UN37" si="544">UK30+UK34</f>
        <v>0</v>
      </c>
      <c r="UL37" s="618">
        <f t="shared" si="544"/>
        <v>0</v>
      </c>
      <c r="UM37" s="618">
        <f t="shared" si="544"/>
        <v>150500000</v>
      </c>
      <c r="UN37" s="618">
        <f t="shared" si="544"/>
        <v>749900</v>
      </c>
      <c r="UO37" s="346">
        <f t="shared" ref="UO37:UT37" si="545">UO30+UO34</f>
        <v>1000000</v>
      </c>
      <c r="UP37" s="593">
        <f t="shared" si="545"/>
        <v>0</v>
      </c>
      <c r="UQ37" s="710">
        <f t="shared" si="545"/>
        <v>1000000</v>
      </c>
      <c r="UR37" s="346">
        <f t="shared" si="545"/>
        <v>1000000</v>
      </c>
      <c r="US37" s="593">
        <f t="shared" si="545"/>
        <v>0</v>
      </c>
      <c r="UT37" s="710">
        <f t="shared" si="545"/>
        <v>1000000</v>
      </c>
      <c r="UU37" s="346">
        <f t="shared" ref="UU37:UZ37" si="546">UU30+UU34</f>
        <v>10000000</v>
      </c>
      <c r="UV37" s="593">
        <f t="shared" si="546"/>
        <v>0</v>
      </c>
      <c r="UW37" s="710">
        <f t="shared" si="546"/>
        <v>10000000</v>
      </c>
      <c r="UX37" s="346">
        <f t="shared" si="546"/>
        <v>3876756.56</v>
      </c>
      <c r="UY37" s="593">
        <f t="shared" si="546"/>
        <v>0</v>
      </c>
      <c r="UZ37" s="710">
        <f t="shared" si="546"/>
        <v>3876756.56</v>
      </c>
      <c r="VA37" s="346">
        <f t="shared" si="538"/>
        <v>224874.44</v>
      </c>
      <c r="VB37" s="593">
        <f>VB30+VB34</f>
        <v>0</v>
      </c>
      <c r="VC37" s="710">
        <f>VC30+VC34</f>
        <v>0</v>
      </c>
      <c r="VD37" s="593">
        <f>VD30+VD34</f>
        <v>224874.44</v>
      </c>
      <c r="VE37" s="346">
        <f t="shared" si="538"/>
        <v>224874.44</v>
      </c>
      <c r="VF37" s="593">
        <f>VF30+VF34</f>
        <v>0</v>
      </c>
      <c r="VG37" s="710">
        <f>VG30+VG34</f>
        <v>0</v>
      </c>
      <c r="VH37" s="593">
        <f>VH30+VH34</f>
        <v>224874.44</v>
      </c>
      <c r="VI37" s="346">
        <f t="shared" si="538"/>
        <v>0</v>
      </c>
      <c r="VJ37" s="593">
        <f t="shared" si="538"/>
        <v>0</v>
      </c>
      <c r="VK37" s="346">
        <f t="shared" si="538"/>
        <v>0</v>
      </c>
      <c r="VL37" s="593">
        <f t="shared" si="538"/>
        <v>0</v>
      </c>
      <c r="VM37" s="618">
        <f t="shared" ref="VM37:WL37" si="547">VM30+VM34</f>
        <v>0</v>
      </c>
      <c r="VN37" s="593">
        <f t="shared" si="547"/>
        <v>0</v>
      </c>
      <c r="VO37" s="618">
        <f t="shared" si="547"/>
        <v>0</v>
      </c>
      <c r="VP37" s="593">
        <f t="shared" si="547"/>
        <v>0</v>
      </c>
      <c r="VQ37" s="618">
        <f t="shared" si="547"/>
        <v>0</v>
      </c>
      <c r="VR37" s="593">
        <f t="shared" si="547"/>
        <v>0</v>
      </c>
      <c r="VS37" s="618">
        <f t="shared" si="547"/>
        <v>0</v>
      </c>
      <c r="VT37" s="593">
        <f t="shared" si="547"/>
        <v>0</v>
      </c>
      <c r="VU37" s="587">
        <f t="shared" si="547"/>
        <v>-690369300</v>
      </c>
      <c r="VV37" s="346">
        <f t="shared" si="547"/>
        <v>-230138300</v>
      </c>
      <c r="VW37" s="346">
        <f t="shared" si="547"/>
        <v>172500000</v>
      </c>
      <c r="VX37" s="346">
        <f t="shared" si="547"/>
        <v>22600000</v>
      </c>
      <c r="VY37" s="346">
        <f t="shared" si="547"/>
        <v>20540000</v>
      </c>
      <c r="VZ37" s="346">
        <f t="shared" si="547"/>
        <v>9381000</v>
      </c>
      <c r="WA37" s="590">
        <f t="shared" si="547"/>
        <v>4240000</v>
      </c>
      <c r="WB37" s="590">
        <f t="shared" si="547"/>
        <v>2050000</v>
      </c>
      <c r="WC37" s="590">
        <f t="shared" si="547"/>
        <v>16300000</v>
      </c>
      <c r="WD37" s="590">
        <f t="shared" si="547"/>
        <v>7331000</v>
      </c>
      <c r="WE37" s="346">
        <f t="shared" si="547"/>
        <v>-794041700</v>
      </c>
      <c r="WF37" s="346">
        <f t="shared" si="547"/>
        <v>-241191700</v>
      </c>
      <c r="WG37" s="346">
        <f t="shared" si="547"/>
        <v>-89367600</v>
      </c>
      <c r="WH37" s="346">
        <f t="shared" si="547"/>
        <v>-20927600</v>
      </c>
      <c r="WI37" s="590">
        <f t="shared" si="547"/>
        <v>-29567600</v>
      </c>
      <c r="WJ37" s="590">
        <f t="shared" si="547"/>
        <v>-9127600</v>
      </c>
      <c r="WK37" s="590">
        <f t="shared" si="547"/>
        <v>-59800000</v>
      </c>
      <c r="WL37" s="590">
        <f t="shared" si="547"/>
        <v>-11800000</v>
      </c>
      <c r="WM37" s="1547">
        <f>'План и исполнение'!WE37+'План и исполнение'!WG37</f>
        <v>-883409300</v>
      </c>
      <c r="WN37" s="1547">
        <f>'План и исполнение'!WF37+'План и исполнение'!WH37</f>
        <v>-262119300</v>
      </c>
    </row>
    <row r="38" spans="1:612" s="398" customFormat="1" ht="16.5" customHeight="1" x14ac:dyDescent="0.3">
      <c r="A38" s="223"/>
      <c r="B38" s="225">
        <f>D38+AI38+'План и исполнение'!RA38</f>
        <v>0</v>
      </c>
      <c r="C38" s="225">
        <f>E38+AJ39+'План и исполнение'!RD38</f>
        <v>0</v>
      </c>
      <c r="D38" s="225">
        <f>D37-'[1]Дотация  из  ОБ_факт'!$F$43</f>
        <v>0</v>
      </c>
      <c r="E38" s="225">
        <f>1793436155.13-E37</f>
        <v>0</v>
      </c>
      <c r="F38" s="225">
        <f>F37+H37</f>
        <v>2191815300</v>
      </c>
      <c r="G38" s="225">
        <f>G37+I37</f>
        <v>1360887801.8499999</v>
      </c>
      <c r="H38" s="223"/>
      <c r="I38" s="223"/>
      <c r="J38" s="223"/>
      <c r="K38" s="223"/>
      <c r="L38" s="223"/>
      <c r="M38" s="223"/>
      <c r="N38" s="225">
        <f>N37+P37</f>
        <v>745131906</v>
      </c>
      <c r="O38" s="225">
        <f>O37+Q37</f>
        <v>406439603.27999997</v>
      </c>
      <c r="P38" s="223"/>
      <c r="Q38" s="223"/>
      <c r="R38" s="223"/>
      <c r="S38" s="223"/>
      <c r="T38" s="223"/>
      <c r="U38" s="223"/>
      <c r="V38" s="223"/>
      <c r="W38" s="223"/>
      <c r="X38" s="223"/>
      <c r="Y38" s="223"/>
      <c r="Z38" s="223"/>
      <c r="AA38" s="223"/>
      <c r="AB38" s="223"/>
      <c r="AC38" s="223"/>
      <c r="AD38" s="223"/>
      <c r="AE38" s="223"/>
      <c r="AF38" s="223"/>
      <c r="AG38" s="223"/>
      <c r="AH38" s="223"/>
      <c r="AI38" s="225">
        <f>AI37-[1]Субсидия_факт!$E$35</f>
        <v>0</v>
      </c>
      <c r="AJ38" s="223"/>
      <c r="AK38" s="223"/>
      <c r="AL38" s="238">
        <f>AL37+AV37</f>
        <v>63679506.950000003</v>
      </c>
      <c r="AM38" s="238">
        <f>AM37+AW37+'Прочая  субсидия_МР  и  ГО'!V38</f>
        <v>422415320.88999999</v>
      </c>
      <c r="AN38" s="238"/>
      <c r="AO38" s="494">
        <f>AO37+AX37</f>
        <v>8436447.2800000012</v>
      </c>
      <c r="AP38" s="223"/>
      <c r="AQ38" s="494">
        <f>AQ37+AZ37</f>
        <v>23548313.280000001</v>
      </c>
      <c r="AR38" s="225">
        <f>AR37+BA37+'Прочая  субсидия_МР  и  ГО'!W38</f>
        <v>45286581.300000004</v>
      </c>
      <c r="AS38" s="225"/>
      <c r="AT38" s="494">
        <f>AT37+BB37</f>
        <v>0</v>
      </c>
      <c r="AU38" s="223"/>
      <c r="AV38" s="237"/>
      <c r="AW38" s="225"/>
      <c r="AX38" s="225"/>
      <c r="AY38" s="223"/>
      <c r="AZ38" s="223"/>
      <c r="BA38" s="225"/>
      <c r="BB38" s="225"/>
      <c r="BC38" s="223"/>
      <c r="BD38" s="225"/>
      <c r="BE38" s="225"/>
      <c r="BF38" s="225"/>
      <c r="BG38" s="223"/>
      <c r="BH38" s="225"/>
      <c r="BI38" s="225"/>
      <c r="BJ38" s="225"/>
      <c r="BK38" s="223"/>
      <c r="BL38" s="225"/>
      <c r="BM38" s="225"/>
      <c r="BN38" s="225"/>
      <c r="BO38" s="223"/>
      <c r="BP38" s="225"/>
      <c r="BQ38" s="225"/>
      <c r="BR38" s="225"/>
      <c r="BS38" s="238">
        <f>BS37+CA37</f>
        <v>1290345412.98</v>
      </c>
      <c r="BT38" s="238">
        <f t="shared" ref="BT38:BZ38" si="548">BT37+CB37</f>
        <v>167008559.98000002</v>
      </c>
      <c r="BU38" s="238">
        <f t="shared" si="548"/>
        <v>519456153</v>
      </c>
      <c r="BV38" s="238">
        <f t="shared" si="548"/>
        <v>603880700</v>
      </c>
      <c r="BW38" s="238">
        <f t="shared" si="548"/>
        <v>115625723.16</v>
      </c>
      <c r="BX38" s="238">
        <f t="shared" si="548"/>
        <v>8528911.879999999</v>
      </c>
      <c r="BY38" s="238">
        <f t="shared" si="548"/>
        <v>40737510.160000004</v>
      </c>
      <c r="BZ38" s="863">
        <f t="shared" si="548"/>
        <v>66359301.120000005</v>
      </c>
      <c r="CA38" s="237"/>
      <c r="CB38" s="237"/>
      <c r="CC38" s="237"/>
      <c r="CE38" s="237"/>
      <c r="CF38" s="237"/>
      <c r="CG38" s="237"/>
      <c r="CI38" s="237"/>
      <c r="CJ38" s="237"/>
      <c r="CK38" s="237"/>
      <c r="CL38" s="237"/>
      <c r="CM38" s="237"/>
      <c r="CN38" s="237"/>
      <c r="CO38" s="237"/>
      <c r="CP38" s="237"/>
      <c r="CQ38" s="225">
        <f>CQ37+CS37</f>
        <v>540305661.38999999</v>
      </c>
      <c r="CR38" s="225">
        <f>CR37+CT37</f>
        <v>316742204.18000001</v>
      </c>
      <c r="CS38" s="223"/>
      <c r="CT38" s="223"/>
      <c r="CU38" s="223"/>
      <c r="CV38" s="223"/>
      <c r="CW38" s="223"/>
      <c r="CX38" s="223"/>
      <c r="CY38" s="225">
        <f>CY37+DA37</f>
        <v>127262338.51999998</v>
      </c>
      <c r="CZ38" s="225">
        <f>CZ37+DB37</f>
        <v>46318201.860000007</v>
      </c>
      <c r="DA38" s="223"/>
      <c r="DB38" s="223"/>
      <c r="DC38" s="223"/>
      <c r="DD38" s="223"/>
      <c r="DE38" s="223"/>
      <c r="DF38" s="223"/>
      <c r="DG38" s="239"/>
      <c r="DH38" s="239"/>
      <c r="DI38" s="239"/>
      <c r="DJ38" s="239"/>
      <c r="DK38" s="239"/>
      <c r="DL38" s="239"/>
      <c r="DM38" s="239"/>
      <c r="DN38" s="239"/>
      <c r="DO38" s="239"/>
      <c r="DP38" s="239"/>
      <c r="DQ38" s="239"/>
      <c r="DR38" s="239"/>
      <c r="DS38" s="239"/>
      <c r="DT38" s="239"/>
      <c r="DU38" s="239"/>
      <c r="DV38" s="239"/>
      <c r="DW38" s="239"/>
      <c r="DX38" s="239"/>
      <c r="DY38" s="239"/>
      <c r="DZ38" s="239"/>
      <c r="EA38" s="239"/>
      <c r="EB38" s="239"/>
      <c r="EC38" s="239"/>
      <c r="ED38" s="239"/>
      <c r="EE38" s="239"/>
      <c r="EF38" s="239"/>
      <c r="EG38" s="239"/>
      <c r="EH38" s="239"/>
      <c r="EI38" s="237"/>
      <c r="EJ38" s="237"/>
      <c r="EK38" s="237"/>
      <c r="EL38" s="237"/>
      <c r="EM38" s="237"/>
      <c r="EN38" s="237"/>
      <c r="EO38" s="237"/>
      <c r="EP38" s="237"/>
      <c r="EQ38" s="237"/>
      <c r="ER38" s="237"/>
      <c r="ES38" s="239"/>
      <c r="ET38" s="239"/>
      <c r="EU38" s="239"/>
      <c r="EV38" s="239"/>
      <c r="EW38" s="239"/>
      <c r="EX38" s="239"/>
      <c r="EY38" s="239"/>
      <c r="EZ38" s="239"/>
      <c r="FA38" s="239"/>
      <c r="FB38" s="239"/>
      <c r="FC38" s="239"/>
      <c r="FD38" s="239"/>
      <c r="FE38" s="239"/>
      <c r="FF38" s="239"/>
      <c r="FG38" s="239"/>
      <c r="FH38" s="239"/>
      <c r="FI38" s="239"/>
      <c r="FJ38" s="239"/>
      <c r="FK38" s="239"/>
      <c r="FL38" s="239">
        <f>FL37+FR37</f>
        <v>22346100</v>
      </c>
      <c r="FM38" s="239">
        <f>FM37+FS37</f>
        <v>0</v>
      </c>
      <c r="FN38" s="239"/>
      <c r="FO38" s="239">
        <f>FO37+FU37</f>
        <v>0</v>
      </c>
      <c r="FP38" s="239">
        <f>FP37+FV37</f>
        <v>0</v>
      </c>
      <c r="FQ38" s="239"/>
      <c r="FR38" s="239"/>
      <c r="FS38" s="239"/>
      <c r="FT38" s="239"/>
      <c r="FU38" s="239"/>
      <c r="FV38" s="239"/>
      <c r="FW38" s="239"/>
      <c r="FX38" s="239"/>
      <c r="FY38" s="239"/>
      <c r="FZ38" s="239"/>
      <c r="GA38" s="239"/>
      <c r="GB38" s="239"/>
      <c r="GC38" s="239"/>
      <c r="GD38" s="239"/>
      <c r="GE38" s="239"/>
      <c r="GF38" s="239"/>
      <c r="GG38" s="239"/>
      <c r="GH38" s="239">
        <f t="shared" ref="GH38:GI38" si="549">GH37+GR37</f>
        <v>3123025.4</v>
      </c>
      <c r="GI38" s="239">
        <f t="shared" si="549"/>
        <v>0</v>
      </c>
      <c r="GJ38" s="239">
        <f>GJ37+GT37</f>
        <v>10210540</v>
      </c>
      <c r="GK38" s="239">
        <f>GK37+GU37</f>
        <v>7186299.9999999991</v>
      </c>
      <c r="GL38" s="239"/>
      <c r="GM38" s="239">
        <f t="shared" ref="GM38:GN38" si="550">GM37+GW37</f>
        <v>0</v>
      </c>
      <c r="GN38" s="239">
        <f t="shared" si="550"/>
        <v>0</v>
      </c>
      <c r="GO38" s="239">
        <f>GO37+GY37</f>
        <v>1901553.92</v>
      </c>
      <c r="GP38" s="239">
        <f>GP37+GZ37</f>
        <v>1338336.3599999999</v>
      </c>
      <c r="GQ38" s="239"/>
      <c r="GR38" s="239"/>
      <c r="GS38" s="239"/>
      <c r="GT38" s="239"/>
      <c r="GU38" s="239"/>
      <c r="GV38" s="239"/>
      <c r="GW38" s="239"/>
      <c r="GX38" s="239"/>
      <c r="GY38" s="239"/>
      <c r="GZ38" s="239"/>
      <c r="HA38" s="239"/>
      <c r="HB38" s="239"/>
      <c r="HC38" s="239"/>
      <c r="HD38" s="239"/>
      <c r="HE38" s="239"/>
      <c r="HF38" s="239"/>
      <c r="HG38" s="239"/>
      <c r="HH38" s="239"/>
      <c r="HI38" s="239"/>
      <c r="HJ38" s="239"/>
      <c r="HK38" s="239"/>
      <c r="HL38" s="239"/>
      <c r="HM38" s="239"/>
      <c r="HN38" s="239"/>
      <c r="HO38" s="239"/>
      <c r="HP38" s="239"/>
      <c r="HQ38" s="239"/>
      <c r="HR38" s="239"/>
      <c r="HS38" s="239"/>
      <c r="HT38" s="239"/>
      <c r="HU38" s="239"/>
      <c r="HV38" s="239"/>
      <c r="HW38" s="239"/>
      <c r="HX38" s="239"/>
      <c r="HY38" s="239"/>
      <c r="HZ38" s="239"/>
      <c r="IA38" s="239"/>
      <c r="IB38" s="239"/>
      <c r="IC38" s="239"/>
      <c r="ID38" s="239"/>
      <c r="IE38" s="239"/>
      <c r="IF38" s="239"/>
      <c r="IG38" s="239"/>
      <c r="IH38" s="239"/>
      <c r="II38" s="239"/>
      <c r="IJ38" s="239"/>
      <c r="IK38" s="239"/>
      <c r="IL38" s="239"/>
      <c r="IM38" s="494">
        <f>IM37+'План и исполнение'!IS37</f>
        <v>26178800.000000004</v>
      </c>
      <c r="IN38" s="494">
        <f>IN37+'План и исполнение'!IT37</f>
        <v>7330100.0100000007</v>
      </c>
      <c r="IO38" s="494">
        <f>IO37+'План и исполнение'!IU37</f>
        <v>18848699.990000002</v>
      </c>
      <c r="IP38" s="494">
        <f>IP37+'План и исполнение'!IV37</f>
        <v>18511192.82</v>
      </c>
      <c r="IQ38" s="494">
        <f>IQ37+'План и исполнение'!IW37</f>
        <v>5183159.4600000009</v>
      </c>
      <c r="IR38" s="494">
        <f>IR37+'План и исполнение'!IX37</f>
        <v>13328033.360000003</v>
      </c>
      <c r="IS38" s="237"/>
      <c r="IT38" s="237"/>
      <c r="IU38" s="237"/>
      <c r="IV38" s="237"/>
      <c r="IW38" s="237"/>
      <c r="IX38" s="237"/>
      <c r="JQ38" s="220"/>
      <c r="JR38" s="677">
        <f>JR37+'План и исполнение'!KB37</f>
        <v>17640000</v>
      </c>
      <c r="JS38" s="677">
        <f>JS37+'План и исполнение'!KC37</f>
        <v>45360000</v>
      </c>
      <c r="JT38" s="677">
        <f>JT37+'План и исполнение'!KD37</f>
        <v>200000</v>
      </c>
      <c r="JU38" s="677">
        <f>JU37+'План и исполнение'!KE37</f>
        <v>227600</v>
      </c>
      <c r="JV38" s="220"/>
      <c r="JW38" s="677">
        <f>JW37+'План и исполнение'!KG37</f>
        <v>1388291.71</v>
      </c>
      <c r="JX38" s="677">
        <f>JX37+'План и исполнение'!KH37</f>
        <v>3569892.9499999997</v>
      </c>
      <c r="JY38" s="677">
        <f>JY37+'План и исполнение'!KI37</f>
        <v>0</v>
      </c>
      <c r="JZ38" s="677">
        <f>JZ37+'План и исполнение'!KJ37</f>
        <v>0</v>
      </c>
      <c r="KA38" s="220"/>
      <c r="KB38" s="220"/>
      <c r="KC38" s="220"/>
      <c r="KD38" s="220"/>
      <c r="KE38" s="220"/>
      <c r="KF38" s="220"/>
      <c r="KG38" s="220"/>
      <c r="KH38" s="220"/>
      <c r="KI38" s="220"/>
      <c r="KJ38" s="220"/>
      <c r="KK38" s="220"/>
      <c r="KL38" s="220"/>
      <c r="KM38" s="220"/>
      <c r="KN38" s="220"/>
      <c r="KO38" s="220"/>
      <c r="KP38" s="220"/>
      <c r="KQ38" s="220"/>
      <c r="KR38" s="220"/>
      <c r="KS38" s="220"/>
      <c r="KT38" s="220"/>
      <c r="KU38" s="220"/>
      <c r="KV38" s="220"/>
      <c r="KW38" s="220"/>
      <c r="KX38" s="220"/>
      <c r="KY38" s="220"/>
      <c r="KZ38" s="220"/>
      <c r="LA38" s="220"/>
      <c r="LB38" s="220"/>
      <c r="LC38" s="220"/>
      <c r="LD38" s="220"/>
      <c r="LE38" s="237"/>
      <c r="LF38" s="237"/>
      <c r="LG38" s="237"/>
      <c r="LH38" s="237"/>
      <c r="LI38" s="237"/>
      <c r="LJ38" s="237"/>
      <c r="LK38" s="237"/>
      <c r="LL38" s="237"/>
      <c r="LQ38" s="237"/>
      <c r="LR38" s="237"/>
      <c r="LS38" s="237"/>
      <c r="LT38" s="237"/>
      <c r="LU38" s="237"/>
      <c r="LV38" s="237"/>
      <c r="LW38" s="237"/>
      <c r="LX38" s="237"/>
      <c r="LY38" s="237"/>
      <c r="LZ38" s="237"/>
      <c r="MM38" s="494"/>
      <c r="MN38" s="494">
        <f>MN37+'План и исполнение'!MV37</f>
        <v>16828236.84</v>
      </c>
      <c r="MO38" s="494">
        <f>MO37+'План и исполнение'!MW37</f>
        <v>319736500</v>
      </c>
      <c r="MP38" s="494">
        <f>MP37+MX37</f>
        <v>154710847</v>
      </c>
      <c r="MQ38" s="494"/>
      <c r="MR38" s="494">
        <f>MR37+'План и исполнение'!MZ37</f>
        <v>3070201.17</v>
      </c>
      <c r="MS38" s="494">
        <f>MS37+'План и исполнение'!NA37</f>
        <v>58333822.579999998</v>
      </c>
      <c r="MT38" s="494">
        <f>MT37+NB37</f>
        <v>148609483.90000001</v>
      </c>
      <c r="MU38" s="237"/>
      <c r="MV38" s="237"/>
      <c r="MW38" s="237"/>
      <c r="MX38" s="237"/>
      <c r="MY38" s="237"/>
      <c r="MZ38" s="237"/>
      <c r="NA38" s="237"/>
      <c r="NB38" s="237"/>
      <c r="NT38" s="494">
        <f>NT37+OD37</f>
        <v>110085227.78</v>
      </c>
      <c r="NU38" s="494">
        <f>NU37+OE37</f>
        <v>283076300</v>
      </c>
      <c r="NW38" s="494">
        <f>NW37+OK37</f>
        <v>4829547.42</v>
      </c>
      <c r="NX38" s="494">
        <f>NX37+OL37</f>
        <v>12418836.18</v>
      </c>
      <c r="NY38" s="237"/>
      <c r="NZ38" s="237"/>
      <c r="OA38" s="237"/>
      <c r="OB38" s="237"/>
      <c r="OC38" s="237"/>
      <c r="OD38" s="237"/>
      <c r="OE38" s="237"/>
      <c r="OF38" s="237"/>
      <c r="OG38" s="237"/>
      <c r="OH38" s="237"/>
      <c r="OI38" s="237"/>
      <c r="OJ38" s="237"/>
      <c r="OK38" s="237"/>
      <c r="OL38" s="237"/>
      <c r="OM38" s="237"/>
      <c r="ON38" s="237"/>
      <c r="OO38" s="237"/>
      <c r="OP38" s="237"/>
      <c r="OQ38" s="237"/>
      <c r="OR38" s="237"/>
      <c r="OS38" s="237"/>
      <c r="OT38" s="237"/>
      <c r="OU38" s="237"/>
      <c r="OV38" s="237"/>
      <c r="OW38" s="237"/>
      <c r="OX38" s="237"/>
      <c r="OY38" s="237"/>
      <c r="OZ38" s="237"/>
      <c r="PA38" s="237"/>
      <c r="PB38" s="237"/>
      <c r="PC38" s="237"/>
      <c r="PD38" s="237"/>
      <c r="PE38" s="237"/>
      <c r="PF38" s="237"/>
      <c r="PG38" s="237"/>
      <c r="PH38" s="237"/>
      <c r="PI38" s="237"/>
      <c r="PJ38" s="237"/>
      <c r="PK38" s="237"/>
      <c r="PL38" s="237"/>
      <c r="PM38" s="237"/>
      <c r="PN38" s="237"/>
      <c r="PO38" s="239"/>
      <c r="PP38" s="239"/>
      <c r="PQ38" s="239"/>
      <c r="PR38" s="239"/>
      <c r="PS38" s="239"/>
      <c r="PT38" s="239"/>
      <c r="PU38" s="237"/>
      <c r="PV38" s="494">
        <f>PV37+QB37</f>
        <v>3731272.2199999997</v>
      </c>
      <c r="PW38" s="494">
        <f>PW37+QC37</f>
        <v>9594700</v>
      </c>
      <c r="PX38" s="237"/>
      <c r="PY38" s="494">
        <f>PY37+QE37</f>
        <v>0</v>
      </c>
      <c r="PZ38" s="494">
        <f>PZ37+QF37</f>
        <v>0</v>
      </c>
      <c r="QA38" s="237"/>
      <c r="QB38" s="237"/>
      <c r="QC38" s="237"/>
      <c r="QD38" s="237"/>
      <c r="QE38" s="237"/>
      <c r="QF38" s="237"/>
      <c r="QG38" s="237"/>
      <c r="QH38" s="237"/>
      <c r="QI38" s="237"/>
      <c r="QJ38" s="237"/>
      <c r="QK38" s="237"/>
      <c r="QL38" s="237"/>
      <c r="QM38" s="237"/>
      <c r="QN38" s="237"/>
      <c r="QO38" s="237"/>
      <c r="QP38" s="237"/>
      <c r="QQ38" s="237"/>
      <c r="QR38" s="237"/>
      <c r="QS38" s="239">
        <f>QS37+QU37</f>
        <v>984140227.26999998</v>
      </c>
      <c r="QT38" s="239">
        <f>QT37+QV37</f>
        <v>184336737.75</v>
      </c>
      <c r="QU38" s="223"/>
      <c r="QV38" s="223"/>
      <c r="QW38" s="223"/>
      <c r="QX38" s="223"/>
      <c r="QY38" s="223"/>
      <c r="QZ38" s="223"/>
      <c r="RA38" s="225">
        <f>RA37-[1]Субвенция_факт!$D$37</f>
        <v>0</v>
      </c>
      <c r="RB38" s="225"/>
      <c r="RC38" s="223"/>
      <c r="RD38" s="225">
        <f>6640855519.28-RD37</f>
        <v>0</v>
      </c>
      <c r="RE38" s="225"/>
      <c r="RF38" s="223"/>
      <c r="RG38" s="225"/>
      <c r="RH38" s="225"/>
      <c r="RI38" s="220"/>
      <c r="RJ38" s="220"/>
      <c r="RK38" s="220"/>
      <c r="RL38" s="239"/>
      <c r="RM38" s="223"/>
      <c r="RN38" s="225">
        <f>12567161.53-RN37</f>
        <v>0</v>
      </c>
      <c r="RO38" s="223"/>
      <c r="RP38" s="225">
        <f>5184-RP37</f>
        <v>0</v>
      </c>
      <c r="RQ38" s="225"/>
      <c r="RR38" s="225">
        <f>0-RR37</f>
        <v>0</v>
      </c>
      <c r="RS38" s="225"/>
      <c r="RT38" s="225">
        <f>8090928-RT37</f>
        <v>0</v>
      </c>
      <c r="RU38" s="225"/>
      <c r="RV38" s="225">
        <f>11462148-RV37</f>
        <v>0</v>
      </c>
      <c r="RW38" s="225"/>
      <c r="RX38" s="225">
        <f>0-RX37</f>
        <v>0</v>
      </c>
      <c r="RY38" s="223"/>
      <c r="RZ38" s="223"/>
      <c r="SA38" s="223"/>
      <c r="SB38" s="223"/>
      <c r="SC38" s="223"/>
      <c r="SD38" s="223"/>
      <c r="SE38" s="223"/>
      <c r="SF38" s="225">
        <f>31910161.75-SF37</f>
        <v>0</v>
      </c>
      <c r="SG38" s="453">
        <f>'[1]Иные межбюджетные трансферты'!$B$35-SG37</f>
        <v>0</v>
      </c>
      <c r="SH38" s="453">
        <f>193374985.08-SH37</f>
        <v>0</v>
      </c>
      <c r="SI38" s="223"/>
      <c r="SJ38" s="223"/>
      <c r="SK38" s="223"/>
      <c r="SL38" s="223"/>
      <c r="SM38" s="223"/>
      <c r="SN38" s="225"/>
      <c r="SO38" s="225">
        <f>SO37+SS37</f>
        <v>240000000</v>
      </c>
      <c r="SP38" s="225">
        <f t="shared" ref="SP38:SR38" si="551">SP37+ST37</f>
        <v>240000000</v>
      </c>
      <c r="SQ38" s="225">
        <f t="shared" si="551"/>
        <v>39903656.670000002</v>
      </c>
      <c r="SR38" s="225">
        <f t="shared" si="551"/>
        <v>39903656.670000002</v>
      </c>
      <c r="SS38" s="225"/>
      <c r="ST38" s="225"/>
      <c r="SU38" s="225"/>
      <c r="SV38" s="225"/>
      <c r="SW38" s="225"/>
      <c r="SX38" s="225"/>
      <c r="SY38" s="225"/>
      <c r="SZ38" s="225"/>
      <c r="TA38" s="225"/>
      <c r="TB38" s="453">
        <f>TB37+TF37</f>
        <v>861087457</v>
      </c>
      <c r="TC38" s="225">
        <f>TC37+TG37</f>
        <v>147619797.41000003</v>
      </c>
      <c r="TD38" s="453">
        <f>TD37+TH37</f>
        <v>147619797.41000003</v>
      </c>
      <c r="TE38" s="225"/>
      <c r="TF38" s="225"/>
      <c r="TG38" s="225"/>
      <c r="TH38" s="225"/>
      <c r="TI38" s="225"/>
      <c r="TJ38" s="225"/>
      <c r="TK38" s="225"/>
      <c r="TL38" s="225"/>
      <c r="TM38" s="225"/>
      <c r="TN38" s="453">
        <f>TN37+TR37</f>
        <v>120000000</v>
      </c>
      <c r="TO38" s="225">
        <f>TO37+TS37</f>
        <v>0</v>
      </c>
      <c r="TP38" s="453">
        <f>TP37+TT37</f>
        <v>0</v>
      </c>
      <c r="TQ38" s="225"/>
      <c r="TR38" s="225"/>
      <c r="TS38" s="225"/>
      <c r="TT38" s="225"/>
      <c r="TU38" s="225"/>
      <c r="TV38" s="225"/>
      <c r="TW38" s="225"/>
      <c r="TX38" s="225"/>
      <c r="TY38" s="225">
        <f>TY37+UE37</f>
        <v>222440000</v>
      </c>
      <c r="TZ38" s="225">
        <f t="shared" ref="TZ38:UA38" si="552">TZ37+UF37</f>
        <v>87940000</v>
      </c>
      <c r="UA38" s="225">
        <f t="shared" si="552"/>
        <v>134500000</v>
      </c>
      <c r="UB38" s="225">
        <f t="shared" ref="UB38" si="553">UB37+UH37</f>
        <v>749900</v>
      </c>
      <c r="UC38" s="225">
        <f t="shared" ref="UC38" si="554">UC37+UI37</f>
        <v>0</v>
      </c>
      <c r="UD38" s="225">
        <f t="shared" ref="UD38" si="555">UD37+UJ37</f>
        <v>749900</v>
      </c>
      <c r="UE38" s="225"/>
      <c r="UF38" s="225"/>
      <c r="UG38" s="225"/>
      <c r="UH38" s="225"/>
      <c r="UI38" s="225"/>
      <c r="UJ38" s="225"/>
      <c r="UK38" s="225"/>
      <c r="UL38" s="225"/>
      <c r="UM38" s="225"/>
      <c r="UN38" s="225"/>
      <c r="UO38" s="225"/>
      <c r="UP38" s="225"/>
      <c r="UQ38" s="225"/>
      <c r="UR38" s="225"/>
      <c r="US38" s="225"/>
      <c r="UT38" s="225"/>
      <c r="UU38" s="225"/>
      <c r="UV38" s="225"/>
      <c r="UW38" s="225"/>
      <c r="UX38" s="225"/>
      <c r="UY38" s="225"/>
      <c r="UZ38" s="225"/>
      <c r="VA38" s="220"/>
      <c r="VB38" s="1601"/>
      <c r="VC38" s="1601"/>
      <c r="VD38" s="1601"/>
      <c r="VE38" s="220"/>
      <c r="VF38" s="1601"/>
      <c r="VG38" s="1601"/>
      <c r="VH38" s="1601"/>
      <c r="VI38" s="223"/>
      <c r="VJ38" s="223"/>
      <c r="VK38" s="223"/>
      <c r="VL38" s="223"/>
      <c r="VM38" s="223"/>
      <c r="VN38" s="223"/>
      <c r="VO38" s="223"/>
      <c r="VP38" s="223"/>
      <c r="VQ38" s="223"/>
      <c r="VR38" s="223"/>
      <c r="VS38" s="223"/>
      <c r="VT38" s="223"/>
      <c r="VU38" s="223"/>
      <c r="VV38" s="225"/>
      <c r="VW38" s="225">
        <f>VW37+WA37+WC37</f>
        <v>193040000</v>
      </c>
      <c r="VX38" s="225">
        <f>VX37+WB37+WD37</f>
        <v>31981000</v>
      </c>
      <c r="VY38" s="225"/>
      <c r="VZ38" s="225"/>
      <c r="WA38" s="225"/>
      <c r="WB38" s="225"/>
      <c r="WC38" s="231"/>
      <c r="WD38" s="231"/>
      <c r="WE38" s="225">
        <f>WE37+WI37+WK37</f>
        <v>-883409300</v>
      </c>
      <c r="WF38" s="225">
        <f>WF37+WJ37+WL37</f>
        <v>-262119300</v>
      </c>
      <c r="WG38" s="225"/>
      <c r="WH38" s="225"/>
      <c r="WI38" s="225"/>
      <c r="WJ38" s="225"/>
      <c r="WK38" s="223"/>
      <c r="WL38" s="223"/>
      <c r="WM38" s="1548"/>
      <c r="WN38" s="1549"/>
    </row>
    <row r="39" spans="1:612" s="398" customFormat="1" ht="172.5" customHeight="1" thickBot="1" x14ac:dyDescent="0.35">
      <c r="A39" s="453">
        <f>B37-'[2]Исполнение  по  МБТ  всего'!$B$33*1000</f>
        <v>0</v>
      </c>
      <c r="B39" s="1174">
        <f>C37-'[2]Исполнение  по  МБТ  всего'!$E$33*1000</f>
        <v>0</v>
      </c>
      <c r="C39" s="1651">
        <v>10447797455.76</v>
      </c>
      <c r="D39" s="1230"/>
      <c r="E39" s="222"/>
      <c r="F39" s="1662" t="s">
        <v>198</v>
      </c>
      <c r="G39" s="1677"/>
      <c r="H39" s="1677"/>
      <c r="I39" s="1677"/>
      <c r="J39" s="1677"/>
      <c r="K39" s="1677"/>
      <c r="L39" s="1677"/>
      <c r="M39" s="1663"/>
      <c r="N39" s="1706" t="s">
        <v>197</v>
      </c>
      <c r="O39" s="1707"/>
      <c r="P39" s="1707"/>
      <c r="Q39" s="1707"/>
      <c r="R39" s="1707"/>
      <c r="S39" s="1707"/>
      <c r="T39" s="1707"/>
      <c r="U39" s="1708"/>
      <c r="V39" s="1662" t="s">
        <v>196</v>
      </c>
      <c r="W39" s="1677"/>
      <c r="X39" s="1677"/>
      <c r="Y39" s="1677"/>
      <c r="Z39" s="1663"/>
      <c r="AA39" s="1661" t="s">
        <v>192</v>
      </c>
      <c r="AB39" s="1661"/>
      <c r="AC39" s="1661"/>
      <c r="AD39" s="1661"/>
      <c r="AE39" s="1661"/>
      <c r="AF39" s="1661"/>
      <c r="AG39" s="1661"/>
      <c r="AH39" s="1661"/>
      <c r="AI39" s="225"/>
      <c r="AJ39" s="225">
        <f>AJ37-AJ40</f>
        <v>0</v>
      </c>
      <c r="AK39" s="1720" t="s">
        <v>702</v>
      </c>
      <c r="AL39" s="1721"/>
      <c r="AM39" s="1721"/>
      <c r="AN39" s="1721"/>
      <c r="AO39" s="1721"/>
      <c r="AP39" s="1721"/>
      <c r="AQ39" s="1721"/>
      <c r="AR39" s="1721"/>
      <c r="AS39" s="1721"/>
      <c r="AT39" s="1721"/>
      <c r="AU39" s="1721"/>
      <c r="AV39" s="1721"/>
      <c r="AW39" s="1721"/>
      <c r="AX39" s="1721"/>
      <c r="AY39" s="1721"/>
      <c r="AZ39" s="1721"/>
      <c r="BA39" s="1721"/>
      <c r="BB39" s="1721"/>
      <c r="BC39" s="1721"/>
      <c r="BD39" s="1721"/>
      <c r="BE39" s="1721"/>
      <c r="BF39" s="1721"/>
      <c r="BG39" s="1721"/>
      <c r="BH39" s="1721"/>
      <c r="BI39" s="1721"/>
      <c r="BJ39" s="1721"/>
      <c r="BK39" s="1721"/>
      <c r="BL39" s="1721"/>
      <c r="BM39" s="1721"/>
      <c r="BN39" s="1721"/>
      <c r="BO39" s="1721"/>
      <c r="BP39" s="1721"/>
      <c r="BQ39" s="1721"/>
      <c r="BR39" s="1721"/>
      <c r="BS39" s="1661" t="s">
        <v>704</v>
      </c>
      <c r="BT39" s="1661"/>
      <c r="BU39" s="1661"/>
      <c r="BV39" s="1661"/>
      <c r="BW39" s="1661"/>
      <c r="BX39" s="1661"/>
      <c r="BY39" s="1661"/>
      <c r="BZ39" s="1661"/>
      <c r="CA39" s="1661"/>
      <c r="CB39" s="1661"/>
      <c r="CC39" s="1661"/>
      <c r="CD39" s="1661"/>
      <c r="CE39" s="1661"/>
      <c r="CF39" s="1661"/>
      <c r="CG39" s="1661"/>
      <c r="CH39" s="1661"/>
      <c r="CI39" s="1661"/>
      <c r="CJ39" s="1661"/>
      <c r="CK39" s="1661"/>
      <c r="CL39" s="1661"/>
      <c r="CM39" s="1662" t="s">
        <v>820</v>
      </c>
      <c r="CN39" s="1677"/>
      <c r="CO39" s="1677"/>
      <c r="CP39" s="1663"/>
      <c r="CQ39" s="1661" t="s">
        <v>734</v>
      </c>
      <c r="CR39" s="1661"/>
      <c r="CS39" s="1661"/>
      <c r="CT39" s="1661"/>
      <c r="CU39" s="1661"/>
      <c r="CV39" s="1661"/>
      <c r="CW39" s="1661"/>
      <c r="CX39" s="1661"/>
      <c r="CY39" s="1661" t="s">
        <v>735</v>
      </c>
      <c r="CZ39" s="1661"/>
      <c r="DA39" s="1661"/>
      <c r="DB39" s="1661"/>
      <c r="DC39" s="1661"/>
      <c r="DD39" s="1661"/>
      <c r="DE39" s="1661"/>
      <c r="DF39" s="1661"/>
      <c r="DG39" s="1661" t="s">
        <v>575</v>
      </c>
      <c r="DH39" s="1661"/>
      <c r="DI39" s="1661"/>
      <c r="DJ39" s="1661"/>
      <c r="DK39" s="1661"/>
      <c r="DL39" s="1661"/>
      <c r="DM39" s="1661" t="s">
        <v>332</v>
      </c>
      <c r="DN39" s="1661"/>
      <c r="DO39" s="1661"/>
      <c r="DP39" s="1661"/>
      <c r="DQ39" s="1661"/>
      <c r="DR39" s="1661"/>
      <c r="DS39" s="1661"/>
      <c r="DT39" s="1661"/>
      <c r="DU39" s="1661"/>
      <c r="DV39" s="1661"/>
      <c r="DW39" s="1661"/>
      <c r="DX39" s="1661"/>
      <c r="DY39" s="1661"/>
      <c r="DZ39" s="1661"/>
      <c r="EA39" s="1661"/>
      <c r="EB39" s="1661"/>
      <c r="EC39" s="1661" t="s">
        <v>428</v>
      </c>
      <c r="ED39" s="1661"/>
      <c r="EE39" s="1661"/>
      <c r="EF39" s="1661"/>
      <c r="EG39" s="1661"/>
      <c r="EH39" s="1661"/>
      <c r="EI39" s="1662" t="s">
        <v>926</v>
      </c>
      <c r="EJ39" s="1677"/>
      <c r="EK39" s="1677"/>
      <c r="EL39" s="1677"/>
      <c r="EM39" s="1677"/>
      <c r="EN39" s="1677"/>
      <c r="EO39" s="1677"/>
      <c r="EP39" s="1677"/>
      <c r="EQ39" s="1677"/>
      <c r="ER39" s="1663"/>
      <c r="ES39" s="1661" t="s">
        <v>922</v>
      </c>
      <c r="ET39" s="1661"/>
      <c r="EU39" s="1661"/>
      <c r="EV39" s="1661"/>
      <c r="EW39" s="1661"/>
      <c r="EX39" s="1661"/>
      <c r="EY39" s="1661" t="s">
        <v>472</v>
      </c>
      <c r="EZ39" s="1661"/>
      <c r="FA39" s="1661"/>
      <c r="FB39" s="1661"/>
      <c r="FC39" s="1661"/>
      <c r="FD39" s="1661"/>
      <c r="FE39" s="1661" t="s">
        <v>437</v>
      </c>
      <c r="FF39" s="1661"/>
      <c r="FG39" s="1661"/>
      <c r="FH39" s="1661"/>
      <c r="FI39" s="1661"/>
      <c r="FJ39" s="1661"/>
      <c r="FK39" s="1662" t="s">
        <v>468</v>
      </c>
      <c r="FL39" s="1677"/>
      <c r="FM39" s="1677"/>
      <c r="FN39" s="1677"/>
      <c r="FO39" s="1677"/>
      <c r="FP39" s="1677"/>
      <c r="FQ39" s="1677"/>
      <c r="FR39" s="1677"/>
      <c r="FS39" s="1677"/>
      <c r="FT39" s="1677"/>
      <c r="FU39" s="1677"/>
      <c r="FV39" s="1677"/>
      <c r="FW39" s="1677"/>
      <c r="FX39" s="1677"/>
      <c r="FY39" s="1677"/>
      <c r="FZ39" s="1663"/>
      <c r="GA39" s="1662" t="s">
        <v>788</v>
      </c>
      <c r="GB39" s="1677"/>
      <c r="GC39" s="1677"/>
      <c r="GD39" s="1677"/>
      <c r="GE39" s="1677"/>
      <c r="GF39" s="1663"/>
      <c r="GG39" s="1662" t="s">
        <v>929</v>
      </c>
      <c r="GH39" s="1677"/>
      <c r="GI39" s="1677"/>
      <c r="GJ39" s="1677"/>
      <c r="GK39" s="1677"/>
      <c r="GL39" s="1677"/>
      <c r="GM39" s="1677"/>
      <c r="GN39" s="1677"/>
      <c r="GO39" s="1677"/>
      <c r="GP39" s="1677"/>
      <c r="GQ39" s="1677"/>
      <c r="GR39" s="1677"/>
      <c r="GS39" s="1677"/>
      <c r="GT39" s="1677"/>
      <c r="GU39" s="1677"/>
      <c r="GV39" s="1677"/>
      <c r="GW39" s="1677"/>
      <c r="GX39" s="1677"/>
      <c r="GY39" s="1677"/>
      <c r="GZ39" s="1677"/>
      <c r="HA39" s="1677"/>
      <c r="HB39" s="1677"/>
      <c r="HC39" s="1677"/>
      <c r="HD39" s="1677"/>
      <c r="HE39" s="1677"/>
      <c r="HF39" s="1677"/>
      <c r="HG39" s="1677"/>
      <c r="HH39" s="1677"/>
      <c r="HI39" s="1677"/>
      <c r="HJ39" s="1677"/>
      <c r="HK39" s="1677"/>
      <c r="HL39" s="1677"/>
      <c r="HM39" s="1677"/>
      <c r="HN39" s="1677"/>
      <c r="HO39" s="1677"/>
      <c r="HP39" s="1677"/>
      <c r="HQ39" s="1677"/>
      <c r="HR39" s="1677"/>
      <c r="HS39" s="1677"/>
      <c r="HT39" s="1663"/>
      <c r="HU39" s="1661" t="s">
        <v>852</v>
      </c>
      <c r="HV39" s="1661"/>
      <c r="HW39" s="1661"/>
      <c r="HX39" s="1661"/>
      <c r="HY39" s="1661"/>
      <c r="HZ39" s="1661"/>
      <c r="IA39" s="1661" t="s">
        <v>900</v>
      </c>
      <c r="IB39" s="1661"/>
      <c r="IC39" s="1661"/>
      <c r="ID39" s="1661"/>
      <c r="IE39" s="1661"/>
      <c r="IF39" s="1661"/>
      <c r="IG39" s="1661" t="s">
        <v>303</v>
      </c>
      <c r="IH39" s="1661"/>
      <c r="II39" s="1661"/>
      <c r="IJ39" s="1661"/>
      <c r="IK39" s="1661"/>
      <c r="IL39" s="1661"/>
      <c r="IM39" s="1662" t="s">
        <v>297</v>
      </c>
      <c r="IN39" s="1677"/>
      <c r="IO39" s="1677"/>
      <c r="IP39" s="1677"/>
      <c r="IQ39" s="1677"/>
      <c r="IR39" s="1677"/>
      <c r="IS39" s="1677"/>
      <c r="IT39" s="1677"/>
      <c r="IU39" s="1677"/>
      <c r="IV39" s="1677"/>
      <c r="IW39" s="1677"/>
      <c r="IX39" s="1677"/>
      <c r="IY39" s="1677"/>
      <c r="IZ39" s="1677"/>
      <c r="JA39" s="1677"/>
      <c r="JB39" s="1677"/>
      <c r="JC39" s="1677"/>
      <c r="JD39" s="1677"/>
      <c r="JE39" s="1677"/>
      <c r="JF39" s="1677"/>
      <c r="JG39" s="1677"/>
      <c r="JH39" s="1677"/>
      <c r="JI39" s="1677"/>
      <c r="JJ39" s="1663"/>
      <c r="JK39" s="1662" t="s">
        <v>557</v>
      </c>
      <c r="JL39" s="1677"/>
      <c r="JM39" s="1677"/>
      <c r="JN39" s="1677"/>
      <c r="JO39" s="1677"/>
      <c r="JP39" s="1663"/>
      <c r="JQ39" s="1661" t="s">
        <v>798</v>
      </c>
      <c r="JR39" s="1661"/>
      <c r="JS39" s="1661"/>
      <c r="JT39" s="1661"/>
      <c r="JU39" s="1661"/>
      <c r="JV39" s="1661"/>
      <c r="JW39" s="1661"/>
      <c r="JX39" s="1661"/>
      <c r="JY39" s="1661"/>
      <c r="JZ39" s="1661"/>
      <c r="KA39" s="1661"/>
      <c r="KB39" s="1661"/>
      <c r="KC39" s="1661"/>
      <c r="KD39" s="1661"/>
      <c r="KE39" s="1661"/>
      <c r="KF39" s="1661"/>
      <c r="KG39" s="1661"/>
      <c r="KH39" s="1661"/>
      <c r="KI39" s="1661"/>
      <c r="KJ39" s="1661"/>
      <c r="KK39" s="1661"/>
      <c r="KL39" s="1661"/>
      <c r="KM39" s="1661"/>
      <c r="KN39" s="1661"/>
      <c r="KO39" s="1661"/>
      <c r="KP39" s="1661"/>
      <c r="KQ39" s="1661"/>
      <c r="KR39" s="1661"/>
      <c r="KS39" s="1661"/>
      <c r="KT39" s="1661"/>
      <c r="KU39" s="1661"/>
      <c r="KV39" s="1661"/>
      <c r="KW39" s="1661"/>
      <c r="KX39" s="1661"/>
      <c r="KY39" s="1661"/>
      <c r="KZ39" s="1661"/>
      <c r="LA39" s="1661"/>
      <c r="LB39" s="1661"/>
      <c r="LC39" s="1661"/>
      <c r="LD39" s="1661"/>
      <c r="LE39" s="1661" t="s">
        <v>795</v>
      </c>
      <c r="LF39" s="1661"/>
      <c r="LG39" s="1661"/>
      <c r="LH39" s="1661"/>
      <c r="LI39" s="1661"/>
      <c r="LJ39" s="1661"/>
      <c r="LK39" s="1661"/>
      <c r="LL39" s="1661"/>
      <c r="LM39" s="1661"/>
      <c r="LN39" s="1661"/>
      <c r="LO39" s="1661"/>
      <c r="LP39" s="1661"/>
      <c r="LQ39" s="1662" t="s">
        <v>866</v>
      </c>
      <c r="LR39" s="1677"/>
      <c r="LS39" s="1677"/>
      <c r="LT39" s="1677"/>
      <c r="LU39" s="1677"/>
      <c r="LV39" s="1677"/>
      <c r="LW39" s="1677"/>
      <c r="LX39" s="1677"/>
      <c r="LY39" s="1677"/>
      <c r="LZ39" s="1677"/>
      <c r="MA39" s="1677"/>
      <c r="MB39" s="1677"/>
      <c r="MC39" s="1677"/>
      <c r="MD39" s="1677"/>
      <c r="ME39" s="1677"/>
      <c r="MF39" s="1677"/>
      <c r="MG39" s="1677"/>
      <c r="MH39" s="1677"/>
      <c r="MI39" s="1677"/>
      <c r="MJ39" s="1677"/>
      <c r="MK39" s="1677"/>
      <c r="ML39" s="1663"/>
      <c r="MM39" s="1662" t="s">
        <v>710</v>
      </c>
      <c r="MN39" s="1677"/>
      <c r="MO39" s="1677"/>
      <c r="MP39" s="1677"/>
      <c r="MQ39" s="1677"/>
      <c r="MR39" s="1677"/>
      <c r="MS39" s="1677"/>
      <c r="MT39" s="1677"/>
      <c r="MU39" s="1677"/>
      <c r="MV39" s="1677"/>
      <c r="MW39" s="1677"/>
      <c r="MX39" s="1677"/>
      <c r="MY39" s="1677"/>
      <c r="MZ39" s="1677"/>
      <c r="NA39" s="1677"/>
      <c r="NB39" s="1677"/>
      <c r="NC39" s="1677"/>
      <c r="ND39" s="1677"/>
      <c r="NE39" s="1677"/>
      <c r="NF39" s="1677"/>
      <c r="NG39" s="1677"/>
      <c r="NH39" s="1677"/>
      <c r="NI39" s="1677"/>
      <c r="NJ39" s="1677"/>
      <c r="NK39" s="1677"/>
      <c r="NL39" s="1677"/>
      <c r="NM39" s="1677"/>
      <c r="NN39" s="1677"/>
      <c r="NO39" s="1677"/>
      <c r="NP39" s="1677"/>
      <c r="NQ39" s="1677"/>
      <c r="NR39" s="1663"/>
      <c r="NS39" s="1623"/>
      <c r="NT39" s="1623"/>
      <c r="NU39" s="1623"/>
      <c r="NV39" s="1623"/>
      <c r="NW39" s="1623"/>
      <c r="NX39" s="1623"/>
      <c r="NY39" s="1662" t="s">
        <v>910</v>
      </c>
      <c r="NZ39" s="1677"/>
      <c r="OA39" s="1677"/>
      <c r="OB39" s="1677"/>
      <c r="OC39" s="1677"/>
      <c r="OD39" s="1677"/>
      <c r="OE39" s="1677"/>
      <c r="OF39" s="1677"/>
      <c r="OG39" s="1677"/>
      <c r="OH39" s="1677"/>
      <c r="OI39" s="1677"/>
      <c r="OJ39" s="1677"/>
      <c r="OK39" s="1683"/>
      <c r="OL39" s="1683"/>
      <c r="OM39" s="1677"/>
      <c r="ON39" s="1677"/>
      <c r="OO39" s="1677"/>
      <c r="OP39" s="1677"/>
      <c r="OQ39" s="1677"/>
      <c r="OR39" s="1677"/>
      <c r="OS39" s="1677"/>
      <c r="OT39" s="1677"/>
      <c r="OU39" s="1677"/>
      <c r="OV39" s="1677"/>
      <c r="OW39" s="1677"/>
      <c r="OX39" s="1677"/>
      <c r="OY39" s="1677"/>
      <c r="OZ39" s="1677"/>
      <c r="PA39" s="1677"/>
      <c r="PB39" s="1677"/>
      <c r="PC39" s="1677"/>
      <c r="PD39" s="1677"/>
      <c r="PE39" s="1677"/>
      <c r="PF39" s="1677"/>
      <c r="PG39" s="1677"/>
      <c r="PH39" s="1677"/>
      <c r="PI39" s="1677"/>
      <c r="PJ39" s="1677"/>
      <c r="PK39" s="1677"/>
      <c r="PL39" s="1677"/>
      <c r="PM39" s="1677"/>
      <c r="PN39" s="1663"/>
      <c r="PO39" s="1661" t="s">
        <v>477</v>
      </c>
      <c r="PP39" s="1661"/>
      <c r="PQ39" s="1661"/>
      <c r="PR39" s="1661"/>
      <c r="PS39" s="1661"/>
      <c r="PT39" s="1661"/>
      <c r="PU39" s="1661" t="s">
        <v>715</v>
      </c>
      <c r="PV39" s="1661"/>
      <c r="PW39" s="1661"/>
      <c r="PX39" s="1661"/>
      <c r="PY39" s="1661"/>
      <c r="PZ39" s="1661"/>
      <c r="QA39" s="1661"/>
      <c r="QB39" s="1661"/>
      <c r="QC39" s="1661"/>
      <c r="QD39" s="1661"/>
      <c r="QE39" s="1661"/>
      <c r="QF39" s="1661"/>
      <c r="QG39" s="1661"/>
      <c r="QH39" s="1661"/>
      <c r="QI39" s="1661"/>
      <c r="QJ39" s="1661"/>
      <c r="QK39" s="1661"/>
      <c r="QL39" s="1661"/>
      <c r="QM39" s="1661"/>
      <c r="QN39" s="1661"/>
      <c r="QO39" s="1661"/>
      <c r="QP39" s="1661"/>
      <c r="QQ39" s="1661"/>
      <c r="QR39" s="1661"/>
      <c r="QS39" s="1662" t="s">
        <v>769</v>
      </c>
      <c r="QT39" s="1663"/>
      <c r="QU39" s="1661" t="s">
        <v>768</v>
      </c>
      <c r="QV39" s="1661"/>
      <c r="QW39" s="1661"/>
      <c r="QX39" s="1661"/>
      <c r="QY39" s="1661"/>
      <c r="QZ39" s="1661"/>
      <c r="RA39" s="227"/>
      <c r="RB39" s="227"/>
      <c r="RC39" s="227"/>
      <c r="RD39" s="228">
        <f>SUM('План и исполнение'!RG38:SF38)-RD38</f>
        <v>0</v>
      </c>
      <c r="RE39" s="229"/>
      <c r="RF39" s="230"/>
      <c r="RG39" s="1662" t="s">
        <v>526</v>
      </c>
      <c r="RH39" s="1663"/>
      <c r="RI39" s="1662" t="s">
        <v>187</v>
      </c>
      <c r="RJ39" s="1663"/>
      <c r="RK39" s="1662" t="s">
        <v>186</v>
      </c>
      <c r="RL39" s="1663"/>
      <c r="RM39" s="1662" t="s">
        <v>173</v>
      </c>
      <c r="RN39" s="1663"/>
      <c r="RO39" s="1662" t="s">
        <v>174</v>
      </c>
      <c r="RP39" s="1663"/>
      <c r="RQ39" s="1662" t="s">
        <v>214</v>
      </c>
      <c r="RR39" s="1663"/>
      <c r="RS39" s="1662" t="s">
        <v>172</v>
      </c>
      <c r="RT39" s="1663"/>
      <c r="RU39" s="1662" t="s">
        <v>295</v>
      </c>
      <c r="RV39" s="1663"/>
      <c r="RW39" s="1662" t="s">
        <v>617</v>
      </c>
      <c r="RX39" s="1663"/>
      <c r="RY39" s="1661" t="s">
        <v>913</v>
      </c>
      <c r="RZ39" s="1661"/>
      <c r="SA39" s="1661"/>
      <c r="SB39" s="1661"/>
      <c r="SC39" s="1661"/>
      <c r="SD39" s="1661"/>
      <c r="SE39" s="1661"/>
      <c r="SF39" s="1661"/>
      <c r="SG39" s="1288"/>
      <c r="SH39" s="246"/>
      <c r="SI39" s="1661" t="s">
        <v>860</v>
      </c>
      <c r="SJ39" s="1661"/>
      <c r="SK39" s="1661"/>
      <c r="SL39" s="1661"/>
      <c r="SM39" s="1661"/>
      <c r="SN39" s="1661"/>
      <c r="SO39" s="1662" t="s">
        <v>746</v>
      </c>
      <c r="SP39" s="1677"/>
      <c r="SQ39" s="1677"/>
      <c r="SR39" s="1677"/>
      <c r="SS39" s="1677"/>
      <c r="ST39" s="1677"/>
      <c r="SU39" s="1677"/>
      <c r="SV39" s="1677"/>
      <c r="SW39" s="1677"/>
      <c r="SX39" s="1677"/>
      <c r="SY39" s="1677"/>
      <c r="SZ39" s="1663"/>
      <c r="TA39" s="1662" t="s">
        <v>408</v>
      </c>
      <c r="TB39" s="1677"/>
      <c r="TC39" s="1677"/>
      <c r="TD39" s="1677"/>
      <c r="TE39" s="1677"/>
      <c r="TF39" s="1677"/>
      <c r="TG39" s="1677"/>
      <c r="TH39" s="1677"/>
      <c r="TI39" s="1677"/>
      <c r="TJ39" s="1677"/>
      <c r="TK39" s="1677"/>
      <c r="TL39" s="1677"/>
      <c r="TM39" s="1662" t="s">
        <v>749</v>
      </c>
      <c r="TN39" s="1677"/>
      <c r="TO39" s="1677"/>
      <c r="TP39" s="1677"/>
      <c r="TQ39" s="1677"/>
      <c r="TR39" s="1677"/>
      <c r="TS39" s="1677"/>
      <c r="TT39" s="1677"/>
      <c r="TU39" s="1677"/>
      <c r="TV39" s="1677"/>
      <c r="TW39" s="1677"/>
      <c r="TX39" s="1677"/>
      <c r="TY39" s="1677" t="s">
        <v>829</v>
      </c>
      <c r="TZ39" s="1677"/>
      <c r="UA39" s="1677"/>
      <c r="UB39" s="1677"/>
      <c r="UC39" s="1677"/>
      <c r="UD39" s="1677"/>
      <c r="UE39" s="1677"/>
      <c r="UF39" s="1677"/>
      <c r="UG39" s="1677"/>
      <c r="UH39" s="1677"/>
      <c r="UI39" s="1677"/>
      <c r="UJ39" s="1677"/>
      <c r="UK39" s="1677"/>
      <c r="UL39" s="1677"/>
      <c r="UM39" s="1677"/>
      <c r="UN39" s="1663"/>
      <c r="UO39" s="1662" t="s">
        <v>588</v>
      </c>
      <c r="UP39" s="1677"/>
      <c r="UQ39" s="1677"/>
      <c r="UR39" s="1677"/>
      <c r="US39" s="1677"/>
      <c r="UT39" s="1663"/>
      <c r="UU39" s="1662" t="s">
        <v>594</v>
      </c>
      <c r="UV39" s="1677"/>
      <c r="UW39" s="1677"/>
      <c r="UX39" s="1677"/>
      <c r="UY39" s="1677"/>
      <c r="UZ39" s="1663"/>
      <c r="VA39" s="1661" t="s">
        <v>906</v>
      </c>
      <c r="VB39" s="1661"/>
      <c r="VC39" s="1661"/>
      <c r="VD39" s="1661"/>
      <c r="VE39" s="1661"/>
      <c r="VF39" s="1661"/>
      <c r="VG39" s="1661"/>
      <c r="VH39" s="1661"/>
      <c r="VI39" s="1661"/>
      <c r="VJ39" s="1661"/>
      <c r="VK39" s="1661"/>
      <c r="VL39" s="1661"/>
      <c r="VM39" s="1661"/>
      <c r="VN39" s="1661"/>
      <c r="VO39" s="1661"/>
      <c r="VP39" s="1661"/>
      <c r="VQ39" s="1661"/>
      <c r="VR39" s="1661"/>
      <c r="VS39" s="1661"/>
      <c r="VT39" s="1661"/>
      <c r="VU39" s="1131"/>
      <c r="VV39" s="231"/>
      <c r="VW39" s="1706">
        <v>540</v>
      </c>
      <c r="VX39" s="1707"/>
      <c r="VY39" s="1707"/>
      <c r="VZ39" s="1707"/>
      <c r="WA39" s="1707"/>
      <c r="WB39" s="1707"/>
      <c r="WC39" s="1707"/>
      <c r="WD39" s="1708"/>
      <c r="WE39" s="1750">
        <v>640</v>
      </c>
      <c r="WF39" s="1750"/>
      <c r="WG39" s="1750"/>
      <c r="WH39" s="1750"/>
      <c r="WI39" s="1750"/>
      <c r="WJ39" s="1750"/>
      <c r="WK39" s="1750"/>
      <c r="WL39" s="1750"/>
      <c r="WM39" s="223"/>
      <c r="WN39" s="223"/>
    </row>
    <row r="40" spans="1:612" s="398" customFormat="1" ht="17.399999999999999" thickBot="1" x14ac:dyDescent="0.35">
      <c r="A40" s="223"/>
      <c r="B40" s="223"/>
      <c r="C40" s="221">
        <f>C39-C37</f>
        <v>0</v>
      </c>
      <c r="D40" s="231"/>
      <c r="E40" s="224" t="s">
        <v>59</v>
      </c>
      <c r="F40" s="1385">
        <v>160211900</v>
      </c>
      <c r="G40" s="1385">
        <v>120759925.2</v>
      </c>
      <c r="I40" s="224"/>
      <c r="J40" s="224"/>
      <c r="K40" s="224"/>
      <c r="L40" s="224"/>
      <c r="M40" s="224"/>
      <c r="N40" s="224"/>
      <c r="O40" s="224"/>
      <c r="P40" s="224"/>
      <c r="Q40" s="223"/>
      <c r="R40" s="223"/>
      <c r="S40" s="223"/>
      <c r="T40" s="223"/>
      <c r="U40" s="223"/>
      <c r="V40" s="240"/>
      <c r="W40" s="223"/>
      <c r="X40" s="223"/>
      <c r="Y40" s="223"/>
      <c r="Z40" s="223"/>
      <c r="AA40" s="240"/>
      <c r="AB40" s="223"/>
      <c r="AC40" s="240"/>
      <c r="AD40" s="240"/>
      <c r="AE40" s="240"/>
      <c r="AF40" s="240"/>
      <c r="AG40" s="240"/>
      <c r="AH40" s="240"/>
      <c r="AI40" s="224" t="s">
        <v>124</v>
      </c>
      <c r="AJ40" s="1642">
        <v>1820130796.27</v>
      </c>
      <c r="AK40" s="1201"/>
      <c r="AL40" s="243"/>
      <c r="AM40" s="243"/>
      <c r="AN40" s="243"/>
      <c r="AO40" s="243"/>
      <c r="AP40" s="1201"/>
      <c r="AQ40" s="1638">
        <v>23548313.280000001</v>
      </c>
      <c r="AR40" s="1638">
        <v>45286581.299999997</v>
      </c>
      <c r="AS40" s="1070"/>
      <c r="AT40" s="1638">
        <v>0</v>
      </c>
      <c r="AU40" s="1201"/>
      <c r="AV40" s="242"/>
      <c r="AW40" s="242"/>
      <c r="AX40" s="242"/>
      <c r="AY40" s="1201"/>
      <c r="AZ40" s="242"/>
      <c r="BA40" s="242"/>
      <c r="BB40" s="1005"/>
      <c r="BC40" s="1201"/>
      <c r="BD40" s="258"/>
      <c r="BE40" s="258"/>
      <c r="BF40" s="258"/>
      <c r="BG40" s="1201"/>
      <c r="BH40" s="258"/>
      <c r="BI40" s="258"/>
      <c r="BJ40" s="258"/>
      <c r="BK40" s="1201"/>
      <c r="BL40" s="258"/>
      <c r="BM40" s="258"/>
      <c r="BN40" s="258"/>
      <c r="BO40" s="1201"/>
      <c r="BP40" s="258"/>
      <c r="BQ40" s="258"/>
      <c r="BR40" s="258"/>
      <c r="BS40" s="243"/>
      <c r="BT40" s="243"/>
      <c r="BU40" s="243"/>
      <c r="BV40" s="271"/>
      <c r="BW40" s="243"/>
      <c r="BX40" s="1256">
        <v>8528911.8800000008</v>
      </c>
      <c r="BY40" s="1256">
        <v>40737510.159999996</v>
      </c>
      <c r="BZ40" s="1256">
        <v>66359301.119999997</v>
      </c>
      <c r="CA40" s="243"/>
      <c r="CB40" s="243"/>
      <c r="CC40" s="243"/>
      <c r="CD40" s="271"/>
      <c r="CE40" s="243"/>
      <c r="CF40" s="243"/>
      <c r="CG40" s="243"/>
      <c r="CH40" s="271"/>
      <c r="CI40" s="271"/>
      <c r="CJ40" s="271"/>
      <c r="CK40" s="271"/>
      <c r="CL40" s="271"/>
      <c r="CM40" s="271"/>
      <c r="CN40" s="271"/>
      <c r="CO40" s="271"/>
      <c r="CP40" s="1638">
        <v>711188.46</v>
      </c>
      <c r="CQ40" s="224"/>
      <c r="CR40" s="1256">
        <v>316742204.18000001</v>
      </c>
      <c r="CS40" s="224"/>
      <c r="CT40" s="224"/>
      <c r="CU40" s="224"/>
      <c r="CV40" s="224"/>
      <c r="CW40" s="224"/>
      <c r="CX40" s="224"/>
      <c r="CY40" s="224"/>
      <c r="CZ40" s="1638">
        <v>46318201.859999999</v>
      </c>
      <c r="DA40" s="224"/>
      <c r="DB40" s="224"/>
      <c r="DC40" s="224"/>
      <c r="DD40" s="224"/>
      <c r="DE40" s="224"/>
      <c r="DF40" s="224"/>
      <c r="DG40" s="243"/>
      <c r="DH40" s="243"/>
      <c r="DI40" s="243"/>
      <c r="DJ40" s="243"/>
      <c r="DK40" s="1567">
        <f>DK41-DL40</f>
        <v>2784056.299999997</v>
      </c>
      <c r="DL40" s="1641">
        <v>132242687.39</v>
      </c>
      <c r="DM40" s="276"/>
      <c r="DN40" s="276"/>
      <c r="DO40" s="276"/>
      <c r="DP40" s="276"/>
      <c r="DQ40" s="276"/>
      <c r="DR40" s="276"/>
      <c r="DS40" s="276"/>
      <c r="DT40" s="276"/>
      <c r="DU40" s="276"/>
      <c r="DV40" s="1256">
        <v>420000</v>
      </c>
      <c r="DW40" s="1607">
        <f>DW41-DX40</f>
        <v>0</v>
      </c>
      <c r="DX40" s="1006"/>
      <c r="DY40" s="1607">
        <f>DY41-DZ40</f>
        <v>0</v>
      </c>
      <c r="DZ40" s="1006"/>
      <c r="EA40" s="1256">
        <v>437528.2</v>
      </c>
      <c r="EB40" s="1256">
        <v>1201777</v>
      </c>
      <c r="EC40" s="243"/>
      <c r="ED40" s="243"/>
      <c r="EE40" s="243"/>
      <c r="EF40" s="243"/>
      <c r="EG40" s="1567">
        <f>EG41-EH40</f>
        <v>0</v>
      </c>
      <c r="EH40" s="1002"/>
      <c r="EI40" s="243"/>
      <c r="EJ40" s="243"/>
      <c r="EK40" s="243"/>
      <c r="EL40" s="243"/>
      <c r="EM40" s="243"/>
      <c r="EN40" s="243"/>
      <c r="EO40" s="1567">
        <f>EO41-EP40</f>
        <v>238776.04000000004</v>
      </c>
      <c r="EP40" s="1568">
        <v>5670930.9699999997</v>
      </c>
      <c r="EQ40" s="1567">
        <f>EQ41-ER40</f>
        <v>0</v>
      </c>
      <c r="ER40" s="1568"/>
      <c r="ES40" s="243"/>
      <c r="ET40" s="243"/>
      <c r="EU40" s="243"/>
      <c r="EV40" s="243"/>
      <c r="EW40" s="1567">
        <f>EW41-EX40</f>
        <v>28865.979999999981</v>
      </c>
      <c r="EX40" s="1568">
        <v>1371134.02</v>
      </c>
      <c r="EY40" s="243"/>
      <c r="EZ40" s="243"/>
      <c r="FA40" s="243"/>
      <c r="FB40" s="243"/>
      <c r="FC40" s="1567">
        <f>FC41-FD40</f>
        <v>815929.06000000052</v>
      </c>
      <c r="FD40" s="1638">
        <v>15502652.77</v>
      </c>
      <c r="FE40" s="1005"/>
      <c r="FF40" s="1005"/>
      <c r="FG40" s="1005"/>
      <c r="FH40" s="1005"/>
      <c r="FI40" s="1289">
        <f>FI41-FJ40</f>
        <v>7672327.4600000083</v>
      </c>
      <c r="FJ40" s="1638">
        <v>145774205.91999999</v>
      </c>
      <c r="FK40" s="1005"/>
      <c r="FL40" s="1005"/>
      <c r="FM40" s="1005"/>
      <c r="FN40" s="1005"/>
      <c r="FO40" s="1567">
        <f>FO41-FP40</f>
        <v>0</v>
      </c>
      <c r="FP40" s="1568"/>
      <c r="FQ40" s="1005"/>
      <c r="FR40" s="1005"/>
      <c r="FS40" s="1005"/>
      <c r="FT40" s="1005"/>
      <c r="FU40" s="1005"/>
      <c r="FV40" s="1005"/>
      <c r="FW40" s="1005"/>
      <c r="FX40" s="1005"/>
      <c r="FY40" s="1005"/>
      <c r="FZ40" s="1005"/>
      <c r="GA40" s="1005"/>
      <c r="GB40" s="1005"/>
      <c r="GC40" s="1005"/>
      <c r="GD40" s="1005"/>
      <c r="GE40" s="1567">
        <f>GE41-GF40</f>
        <v>0</v>
      </c>
      <c r="GF40" s="1568"/>
      <c r="GG40" s="1256"/>
      <c r="GH40" s="1256"/>
      <c r="GI40" s="1256"/>
      <c r="GJ40" s="1256"/>
      <c r="GK40" s="1256"/>
      <c r="GL40" s="1256"/>
      <c r="GM40" s="1567">
        <f>GM41-GN40</f>
        <v>0</v>
      </c>
      <c r="GN40" s="1568"/>
      <c r="GO40" s="1257">
        <f t="shared" ref="GO40" si="556">GO41-GP40</f>
        <v>1901553.9199999997</v>
      </c>
      <c r="GP40" s="1638">
        <v>1338336.3600000001</v>
      </c>
      <c r="GQ40" s="1256"/>
      <c r="GR40" s="1256"/>
      <c r="GS40" s="1256"/>
      <c r="GT40" s="1256"/>
      <c r="GU40" s="1256"/>
      <c r="GV40" s="1256"/>
      <c r="GW40" s="1256"/>
      <c r="GX40" s="1256"/>
      <c r="GY40" s="1256"/>
      <c r="GZ40" s="1256"/>
      <c r="HA40" s="1256"/>
      <c r="HB40" s="1256"/>
      <c r="HC40" s="1256"/>
      <c r="HD40" s="1256"/>
      <c r="HE40" s="1256"/>
      <c r="HF40" s="1256"/>
      <c r="HG40" s="1256"/>
      <c r="HH40" s="1256"/>
      <c r="HI40" s="1256"/>
      <c r="HJ40" s="1256"/>
      <c r="HK40" s="1256"/>
      <c r="HL40" s="1256"/>
      <c r="HM40" s="1256"/>
      <c r="HN40" s="1256"/>
      <c r="HO40" s="1256"/>
      <c r="HP40" s="1256"/>
      <c r="HQ40" s="1256"/>
      <c r="HR40" s="1256"/>
      <c r="HS40" s="1256"/>
      <c r="HT40" s="1256"/>
      <c r="HU40" s="1005"/>
      <c r="HV40" s="1005"/>
      <c r="HW40" s="1005"/>
      <c r="HX40" s="1005"/>
      <c r="HY40" s="1002"/>
      <c r="HZ40" s="1002"/>
      <c r="IA40" s="1005"/>
      <c r="IB40" s="1005"/>
      <c r="IC40" s="1005"/>
      <c r="ID40" s="1005"/>
      <c r="IE40" s="1567">
        <f>IE41-IF40</f>
        <v>0</v>
      </c>
      <c r="IF40" s="1002"/>
      <c r="IG40" s="1005"/>
      <c r="IH40" s="1005"/>
      <c r="II40" s="1005"/>
      <c r="IJ40" s="1005"/>
      <c r="IK40" s="1567">
        <f>IK41-IL40</f>
        <v>998861.39000000013</v>
      </c>
      <c r="IL40" s="1638">
        <v>2568051.58</v>
      </c>
      <c r="IQ40" s="1567">
        <f>IQ41-IR40</f>
        <v>5183159.4600000009</v>
      </c>
      <c r="IR40" s="1638">
        <v>13328033.359999999</v>
      </c>
      <c r="JO40" s="863">
        <f>JO41-JP40</f>
        <v>28742339.820000004</v>
      </c>
      <c r="JP40" s="1638">
        <v>9996648.7699999996</v>
      </c>
      <c r="JQ40" s="258"/>
      <c r="JR40" s="258"/>
      <c r="JS40" s="258"/>
      <c r="JT40" s="258"/>
      <c r="JU40" s="258"/>
      <c r="JV40" s="258"/>
      <c r="JW40" s="1607">
        <f>JW41-JX40</f>
        <v>1388291.71</v>
      </c>
      <c r="JX40" s="1006">
        <v>3569892.95</v>
      </c>
      <c r="JY40" s="1607">
        <f>JY41-JZ40</f>
        <v>0</v>
      </c>
      <c r="JZ40" s="1006"/>
      <c r="KA40" s="258"/>
      <c r="KB40" s="258"/>
      <c r="KC40" s="258"/>
      <c r="KD40" s="258"/>
      <c r="KE40" s="258"/>
      <c r="KF40" s="258"/>
      <c r="KG40" s="258"/>
      <c r="KH40" s="258"/>
      <c r="KI40" s="258"/>
      <c r="KJ40" s="258"/>
      <c r="KK40" s="245"/>
      <c r="KL40" s="1105"/>
      <c r="KM40" s="1105"/>
      <c r="KN40" s="245"/>
      <c r="KO40" s="245"/>
      <c r="KP40" s="245"/>
      <c r="KQ40" s="1105"/>
      <c r="KR40" s="1105"/>
      <c r="KS40" s="245"/>
      <c r="KT40" s="245"/>
      <c r="KU40" s="245"/>
      <c r="KV40" s="1105"/>
      <c r="KW40" s="1105"/>
      <c r="KX40" s="245"/>
      <c r="KY40" s="245"/>
      <c r="KZ40" s="245"/>
      <c r="LA40" s="1105"/>
      <c r="LB40" s="1105"/>
      <c r="LC40" s="245"/>
      <c r="LD40" s="245"/>
      <c r="LE40" s="245"/>
      <c r="LF40" s="245"/>
      <c r="LG40" s="245"/>
      <c r="LH40" s="1312"/>
      <c r="LI40" s="1312"/>
      <c r="LJ40" s="1224"/>
      <c r="LK40" s="245"/>
      <c r="LL40" s="1289">
        <f>LL41-LM40</f>
        <v>130095926.23000002</v>
      </c>
      <c r="LM40" s="1638">
        <v>334532500</v>
      </c>
      <c r="LN40" s="1289">
        <f>LN41-LO40</f>
        <v>3524738.08</v>
      </c>
      <c r="LO40" s="955">
        <v>9063599.5299999993</v>
      </c>
      <c r="LP40" s="1290"/>
      <c r="LQ40" s="245"/>
      <c r="LR40" s="1233"/>
      <c r="LS40" s="1227"/>
      <c r="LT40" s="243"/>
      <c r="LU40" s="243"/>
      <c r="LV40" s="245"/>
      <c r="LW40" s="1003"/>
      <c r="LX40" s="1003"/>
      <c r="LY40" s="1003"/>
      <c r="LZ40" s="1004"/>
      <c r="MA40" s="271"/>
      <c r="MB40" s="271"/>
      <c r="MC40" s="271"/>
      <c r="MD40" s="271"/>
      <c r="ME40" s="271"/>
      <c r="MF40" s="1637">
        <v>5050157.8899999997</v>
      </c>
      <c r="MG40" s="1098"/>
      <c r="MH40" s="1098"/>
      <c r="MI40" s="271"/>
      <c r="MJ40" s="271"/>
      <c r="MK40" s="271"/>
      <c r="ML40" s="271"/>
      <c r="MR40" s="1606">
        <f>MR41-MS40</f>
        <v>3070201.1700000018</v>
      </c>
      <c r="MS40" s="1638">
        <v>58333822.579999998</v>
      </c>
      <c r="MT40" s="1637">
        <v>148609483.90000001</v>
      </c>
      <c r="NW40" s="1569">
        <f>NW41-NX40</f>
        <v>4829547.4200000018</v>
      </c>
      <c r="NX40" s="1638">
        <v>12418836.18</v>
      </c>
      <c r="NY40" s="243"/>
      <c r="NZ40" s="243"/>
      <c r="OA40" s="243"/>
      <c r="OB40" s="243"/>
      <c r="OC40" s="243"/>
      <c r="OD40" s="243"/>
      <c r="OE40" s="243"/>
      <c r="OF40" s="243"/>
      <c r="OG40" s="1569">
        <f>OG41-OH40</f>
        <v>0</v>
      </c>
      <c r="OH40" s="1256"/>
      <c r="OI40" s="1289">
        <f>OI41-OJ40</f>
        <v>2035859.8499999996</v>
      </c>
      <c r="OJ40" s="1655">
        <v>5235068.16</v>
      </c>
      <c r="OK40" s="1657"/>
      <c r="OL40" s="243"/>
      <c r="OM40" s="243"/>
      <c r="ON40" s="243"/>
      <c r="OO40" s="243"/>
      <c r="OP40" s="243"/>
      <c r="OQ40" s="243"/>
      <c r="OR40" s="243"/>
      <c r="OS40" s="243"/>
      <c r="OT40" s="243"/>
      <c r="OU40" s="243"/>
      <c r="OV40" s="243"/>
      <c r="OW40" s="243"/>
      <c r="OX40" s="243"/>
      <c r="OY40" s="243"/>
      <c r="OZ40" s="243"/>
      <c r="PA40" s="243"/>
      <c r="PB40" s="243"/>
      <c r="PC40" s="243"/>
      <c r="PD40" s="243"/>
      <c r="PE40" s="243"/>
      <c r="PF40" s="243"/>
      <c r="PG40" s="243"/>
      <c r="PH40" s="243"/>
      <c r="PI40" s="243"/>
      <c r="PJ40" s="243"/>
      <c r="PK40" s="243"/>
      <c r="PL40" s="243"/>
      <c r="PM40" s="243"/>
      <c r="PN40" s="243"/>
      <c r="PO40" s="1005"/>
      <c r="PP40" s="1005"/>
      <c r="PQ40" s="1005"/>
      <c r="PR40" s="1005"/>
      <c r="PS40" s="1569">
        <f>PS41-PT40</f>
        <v>677786.53000000119</v>
      </c>
      <c r="PT40" s="1256">
        <v>32194859.629999999</v>
      </c>
      <c r="PU40" s="243"/>
      <c r="PV40" s="243"/>
      <c r="PW40" s="243"/>
      <c r="PX40" s="243"/>
      <c r="PY40" s="1569">
        <f>PY41-PZ40</f>
        <v>0</v>
      </c>
      <c r="PZ40" s="1256"/>
      <c r="QA40" s="243"/>
      <c r="QB40" s="243"/>
      <c r="QC40" s="243"/>
      <c r="QD40" s="243"/>
      <c r="QE40" s="243"/>
      <c r="QF40" s="243"/>
      <c r="QG40" s="243"/>
      <c r="QH40" s="243"/>
      <c r="QI40" s="243"/>
      <c r="QJ40" s="243"/>
      <c r="QK40" s="243"/>
      <c r="QL40" s="243"/>
      <c r="QM40" s="243"/>
      <c r="QN40" s="243"/>
      <c r="QO40" s="243"/>
      <c r="QP40" s="243"/>
      <c r="QQ40" s="243"/>
      <c r="QR40" s="243"/>
      <c r="QS40" s="224"/>
      <c r="QT40" s="224"/>
      <c r="QU40" s="224"/>
      <c r="QV40" s="224"/>
      <c r="QW40" s="224"/>
      <c r="QX40" s="224"/>
      <c r="QY40" s="224"/>
      <c r="QZ40" s="224"/>
      <c r="RA40" s="231"/>
      <c r="RB40" s="223"/>
      <c r="RC40" s="223"/>
      <c r="RD40" s="225"/>
      <c r="RE40" s="223"/>
      <c r="RF40" s="225"/>
      <c r="RG40" s="245"/>
      <c r="RH40" s="245"/>
      <c r="RI40" s="245"/>
      <c r="RJ40" s="245"/>
      <c r="RK40" s="245"/>
      <c r="RL40" s="245"/>
      <c r="RM40" s="224"/>
      <c r="RN40" s="244"/>
      <c r="RO40" s="224"/>
      <c r="RP40" s="224"/>
      <c r="RQ40" s="244"/>
      <c r="RR40" s="244"/>
      <c r="RS40" s="224"/>
      <c r="RT40" s="224"/>
      <c r="RU40" s="224"/>
      <c r="RV40" s="224"/>
      <c r="RW40" s="224"/>
      <c r="RX40" s="224"/>
      <c r="RY40" s="224"/>
      <c r="RZ40" s="224"/>
      <c r="SA40" s="224"/>
      <c r="SB40" s="224"/>
      <c r="SC40" s="224"/>
      <c r="SD40" s="224"/>
      <c r="SE40" s="224"/>
      <c r="SF40" s="224"/>
      <c r="SG40" s="224"/>
      <c r="SH40" s="224"/>
      <c r="SI40" s="224"/>
      <c r="SJ40" s="224"/>
      <c r="SK40" s="224"/>
      <c r="SL40" s="224"/>
      <c r="SM40" s="224"/>
      <c r="SN40" s="224"/>
      <c r="SO40" s="224"/>
      <c r="SP40" s="224"/>
      <c r="SQ40" s="224"/>
      <c r="SR40" s="224"/>
      <c r="SS40" s="224"/>
      <c r="ST40" s="224"/>
      <c r="SU40" s="224"/>
      <c r="SV40" s="224"/>
      <c r="SW40" s="224"/>
      <c r="SX40" s="224"/>
      <c r="SY40" s="224"/>
      <c r="SZ40" s="224"/>
      <c r="TA40" s="224"/>
      <c r="TB40" s="224"/>
      <c r="TC40" s="224"/>
      <c r="TD40" s="1256">
        <v>69069288.239999995</v>
      </c>
      <c r="TE40" s="224"/>
      <c r="TF40" s="224"/>
      <c r="TG40" s="224"/>
      <c r="TH40" s="224"/>
      <c r="TI40" s="224"/>
      <c r="TJ40" s="224"/>
      <c r="TK40" s="224"/>
      <c r="TL40" s="224"/>
      <c r="TM40" s="224"/>
      <c r="TN40" s="224"/>
      <c r="TO40" s="224"/>
      <c r="TP40" s="224"/>
      <c r="TQ40" s="224"/>
      <c r="TR40" s="224"/>
      <c r="TS40" s="224"/>
      <c r="TT40" s="224"/>
      <c r="TU40" s="224"/>
      <c r="TV40" s="224"/>
      <c r="TW40" s="224"/>
      <c r="TX40" s="224"/>
      <c r="TY40" s="224"/>
      <c r="TZ40" s="224"/>
      <c r="UA40" s="224"/>
      <c r="UB40" s="224"/>
      <c r="UC40" s="224"/>
      <c r="UD40" s="224"/>
      <c r="UE40" s="224"/>
      <c r="UF40" s="224"/>
      <c r="UG40" s="224"/>
      <c r="UH40" s="224"/>
      <c r="UI40" s="224"/>
      <c r="UJ40" s="224"/>
      <c r="UK40" s="224"/>
      <c r="UL40" s="224"/>
      <c r="UM40" s="224"/>
      <c r="UN40" s="224"/>
      <c r="UO40" s="224"/>
      <c r="UP40" s="224"/>
      <c r="UQ40" s="224"/>
      <c r="UR40" s="224"/>
      <c r="US40" s="1289">
        <f>US41-UT40</f>
        <v>0</v>
      </c>
      <c r="UT40" s="1256"/>
      <c r="UU40" s="224"/>
      <c r="UV40" s="224"/>
      <c r="UW40" s="224"/>
      <c r="UX40" s="224"/>
      <c r="UY40" s="1289">
        <f>UY41-UZ40</f>
        <v>0</v>
      </c>
      <c r="UZ40" s="1634">
        <f>UY41</f>
        <v>1058302.2</v>
      </c>
      <c r="VA40" s="258"/>
      <c r="VB40" s="258"/>
      <c r="VC40" s="258"/>
      <c r="VD40" s="258"/>
      <c r="VE40" s="258"/>
      <c r="VF40" s="258"/>
      <c r="VG40" s="258"/>
      <c r="VH40" s="1633">
        <v>224874.44</v>
      </c>
      <c r="VI40" s="246"/>
      <c r="VJ40" s="246"/>
      <c r="VK40" s="246"/>
      <c r="VL40" s="367"/>
      <c r="VM40" s="246"/>
      <c r="VN40" s="246"/>
      <c r="VO40" s="246"/>
      <c r="VP40" s="246"/>
      <c r="VQ40" s="246"/>
      <c r="VR40" s="246"/>
      <c r="VS40" s="246"/>
      <c r="VT40" s="246"/>
      <c r="VU40" s="231"/>
      <c r="VV40" s="231"/>
      <c r="VW40" s="289">
        <v>193040000</v>
      </c>
      <c r="VX40" s="289">
        <v>31981000</v>
      </c>
      <c r="VY40" s="296"/>
      <c r="VZ40" s="296"/>
      <c r="WA40" s="223"/>
      <c r="WB40" s="223"/>
      <c r="WC40" s="223"/>
      <c r="WD40" s="242"/>
      <c r="WE40" s="295">
        <v>-883409300</v>
      </c>
      <c r="WF40" s="295">
        <v>-262119300</v>
      </c>
      <c r="WG40" s="296"/>
      <c r="WH40" s="296"/>
      <c r="WI40" s="223"/>
      <c r="WJ40" s="223"/>
      <c r="WK40" s="223"/>
      <c r="WL40" s="223"/>
      <c r="WM40" s="223"/>
      <c r="WN40" s="223"/>
    </row>
    <row r="41" spans="1:612" s="398" customFormat="1" ht="17.399999999999999" x14ac:dyDescent="0.3">
      <c r="A41" s="223"/>
      <c r="B41" s="223"/>
      <c r="C41" s="453">
        <f>C40+C38</f>
        <v>0</v>
      </c>
      <c r="D41" s="231"/>
      <c r="E41" s="224" t="s">
        <v>164</v>
      </c>
      <c r="F41" s="258">
        <f>F40-'Район  и  поселения'!AA36</f>
        <v>0</v>
      </c>
      <c r="G41" s="258">
        <f>G40-'Район  и  поселения'!BE36</f>
        <v>0</v>
      </c>
      <c r="I41" s="224"/>
      <c r="J41" s="224"/>
      <c r="K41" s="224"/>
      <c r="L41" s="224"/>
      <c r="M41" s="224"/>
      <c r="N41" s="224"/>
      <c r="O41" s="224"/>
      <c r="P41" s="224"/>
      <c r="Q41" s="223"/>
      <c r="R41" s="223"/>
      <c r="S41" s="223"/>
      <c r="T41" s="223"/>
      <c r="U41" s="223"/>
      <c r="V41" s="240"/>
      <c r="W41" s="223"/>
      <c r="X41" s="223"/>
      <c r="Y41" s="223"/>
      <c r="Z41" s="223"/>
      <c r="AA41" s="240"/>
      <c r="AB41" s="223"/>
      <c r="AC41" s="240"/>
      <c r="AD41" s="240"/>
      <c r="AE41" s="240"/>
      <c r="AF41" s="240"/>
      <c r="AG41" s="240"/>
      <c r="AH41" s="240"/>
      <c r="AI41" s="224"/>
      <c r="AJ41" s="998"/>
      <c r="AK41" s="998"/>
      <c r="AL41" s="243"/>
      <c r="AM41" s="243"/>
      <c r="AN41" s="243"/>
      <c r="AO41" s="243"/>
      <c r="AP41" s="998"/>
      <c r="AQ41" s="763"/>
      <c r="AR41" s="999"/>
      <c r="AS41" s="999"/>
      <c r="AT41" s="763"/>
      <c r="AU41" s="998"/>
      <c r="AV41" s="242"/>
      <c r="AW41" s="242"/>
      <c r="AX41" s="242"/>
      <c r="AY41" s="998"/>
      <c r="AZ41" s="242"/>
      <c r="BA41" s="242"/>
      <c r="BB41" s="829"/>
      <c r="BC41" s="998"/>
      <c r="BD41" s="258"/>
      <c r="BE41" s="258"/>
      <c r="BF41" s="258"/>
      <c r="BG41" s="998"/>
      <c r="BH41" s="258"/>
      <c r="BI41" s="258"/>
      <c r="BJ41" s="258"/>
      <c r="BK41" s="998"/>
      <c r="BL41" s="258"/>
      <c r="BM41" s="258"/>
      <c r="BN41" s="258"/>
      <c r="BO41" s="998"/>
      <c r="BP41" s="258"/>
      <c r="BQ41" s="258"/>
      <c r="BR41" s="258"/>
      <c r="BS41" s="243"/>
      <c r="BT41" s="243"/>
      <c r="BU41" s="243"/>
      <c r="BV41" s="271"/>
      <c r="BW41" s="243"/>
      <c r="BX41" s="995"/>
      <c r="BY41" s="763"/>
      <c r="BZ41" s="271"/>
      <c r="CA41" s="243"/>
      <c r="CB41" s="243"/>
      <c r="CC41" s="243"/>
      <c r="CD41" s="271"/>
      <c r="CE41" s="243"/>
      <c r="CF41" s="243"/>
      <c r="CG41" s="243"/>
      <c r="CH41" s="271"/>
      <c r="CI41" s="271"/>
      <c r="CJ41" s="271"/>
      <c r="CK41" s="271"/>
      <c r="CL41" s="271"/>
      <c r="CM41" s="271"/>
      <c r="CN41" s="271"/>
      <c r="CO41" s="271"/>
      <c r="CP41" s="276">
        <f>CP40-CP37</f>
        <v>0</v>
      </c>
      <c r="CQ41" s="224"/>
      <c r="CR41" s="276">
        <f>CR40-CR38</f>
        <v>0</v>
      </c>
      <c r="CS41" s="224"/>
      <c r="CT41" s="224"/>
      <c r="CU41" s="224"/>
      <c r="CV41" s="224"/>
      <c r="CW41" s="224"/>
      <c r="CX41" s="224"/>
      <c r="CY41" s="224"/>
      <c r="CZ41" s="999"/>
      <c r="DA41" s="224"/>
      <c r="DB41" s="224"/>
      <c r="DC41" s="224"/>
      <c r="DD41" s="224"/>
      <c r="DE41" s="224"/>
      <c r="DF41" s="224"/>
      <c r="DG41" s="243"/>
      <c r="DH41" s="243"/>
      <c r="DI41" s="243"/>
      <c r="DJ41" s="243"/>
      <c r="DK41" s="1256">
        <v>135026743.69</v>
      </c>
      <c r="DL41" s="829"/>
      <c r="DM41" s="276"/>
      <c r="DN41" s="276"/>
      <c r="DO41" s="276"/>
      <c r="DP41" s="276"/>
      <c r="DQ41" s="276"/>
      <c r="DR41" s="276"/>
      <c r="DS41" s="276"/>
      <c r="DT41" s="276"/>
      <c r="DU41" s="276"/>
      <c r="DV41" s="829"/>
      <c r="DW41" s="1638">
        <v>0</v>
      </c>
      <c r="DX41" s="829"/>
      <c r="DY41" s="1638">
        <v>0</v>
      </c>
      <c r="DZ41" s="829"/>
      <c r="EA41" s="829"/>
      <c r="EB41" s="829"/>
      <c r="EC41" s="243"/>
      <c r="ED41" s="243"/>
      <c r="EE41" s="243"/>
      <c r="EF41" s="243"/>
      <c r="EG41" s="1638">
        <v>0</v>
      </c>
      <c r="EH41" s="829"/>
      <c r="EI41" s="243"/>
      <c r="EJ41" s="243"/>
      <c r="EK41" s="243"/>
      <c r="EL41" s="243"/>
      <c r="EM41" s="243"/>
      <c r="EN41" s="243"/>
      <c r="EO41" s="1256">
        <v>5909707.0099999998</v>
      </c>
      <c r="EP41" s="1001"/>
      <c r="EQ41" s="1638">
        <v>0</v>
      </c>
      <c r="ER41" s="1001"/>
      <c r="ES41" s="243"/>
      <c r="ET41" s="243"/>
      <c r="EU41" s="243"/>
      <c r="EV41" s="243"/>
      <c r="EW41" s="1256">
        <v>1400000</v>
      </c>
      <c r="EX41" s="1001"/>
      <c r="EY41" s="243"/>
      <c r="EZ41" s="243"/>
      <c r="FA41" s="243"/>
      <c r="FB41" s="243"/>
      <c r="FC41" s="1638">
        <v>16318581.83</v>
      </c>
      <c r="FD41" s="1001"/>
      <c r="FE41" s="829"/>
      <c r="FF41" s="829"/>
      <c r="FG41" s="829"/>
      <c r="FH41" s="829"/>
      <c r="FI41" s="1638">
        <v>153446533.38</v>
      </c>
      <c r="FJ41" s="955"/>
      <c r="FK41" s="829"/>
      <c r="FL41" s="829"/>
      <c r="FM41" s="829"/>
      <c r="FN41" s="829"/>
      <c r="FO41" s="1638">
        <v>0</v>
      </c>
      <c r="FP41" s="1001"/>
      <c r="FQ41" s="829"/>
      <c r="FR41" s="829"/>
      <c r="FS41" s="829"/>
      <c r="FT41" s="829"/>
      <c r="FU41" s="829"/>
      <c r="FV41" s="829"/>
      <c r="FW41" s="829"/>
      <c r="FX41" s="829"/>
      <c r="FY41" s="829"/>
      <c r="FZ41" s="829"/>
      <c r="GA41" s="829"/>
      <c r="GB41" s="829"/>
      <c r="GC41" s="829"/>
      <c r="GD41" s="829"/>
      <c r="GE41" s="1638">
        <v>0</v>
      </c>
      <c r="GF41" s="1001"/>
      <c r="GG41" s="955"/>
      <c r="GH41" s="955"/>
      <c r="GI41" s="955"/>
      <c r="GJ41" s="955"/>
      <c r="GK41" s="955"/>
      <c r="GL41" s="955"/>
      <c r="GM41" s="1638">
        <v>0</v>
      </c>
      <c r="GN41" s="1001"/>
      <c r="GO41" s="1256">
        <v>3239890.28</v>
      </c>
      <c r="GP41" s="955"/>
      <c r="GQ41" s="955"/>
      <c r="GR41" s="955"/>
      <c r="GS41" s="955"/>
      <c r="GT41" s="955"/>
      <c r="GU41" s="955"/>
      <c r="GV41" s="955"/>
      <c r="GW41" s="955"/>
      <c r="GX41" s="955"/>
      <c r="GY41" s="955"/>
      <c r="GZ41" s="955"/>
      <c r="HA41" s="955"/>
      <c r="HB41" s="955"/>
      <c r="HC41" s="955"/>
      <c r="HD41" s="955"/>
      <c r="HE41" s="955"/>
      <c r="HF41" s="955"/>
      <c r="HG41" s="955"/>
      <c r="HH41" s="955"/>
      <c r="HI41" s="955"/>
      <c r="HJ41" s="955"/>
      <c r="HK41" s="955"/>
      <c r="HL41" s="955"/>
      <c r="HM41" s="955"/>
      <c r="HN41" s="955"/>
      <c r="HO41" s="955"/>
      <c r="HP41" s="955"/>
      <c r="HQ41" s="955"/>
      <c r="HR41" s="955"/>
      <c r="HS41" s="955"/>
      <c r="HT41" s="955"/>
      <c r="HU41" s="829"/>
      <c r="HV41" s="829"/>
      <c r="HW41" s="829"/>
      <c r="HX41" s="829"/>
      <c r="HY41" s="1566">
        <v>0</v>
      </c>
      <c r="HZ41" s="829"/>
      <c r="IA41" s="829"/>
      <c r="IB41" s="829"/>
      <c r="IC41" s="829"/>
      <c r="ID41" s="829"/>
      <c r="IE41" s="1638">
        <v>0</v>
      </c>
      <c r="IF41" s="829"/>
      <c r="IG41" s="829"/>
      <c r="IH41" s="829"/>
      <c r="II41" s="829"/>
      <c r="IJ41" s="829"/>
      <c r="IK41" s="1638">
        <v>3566912.97</v>
      </c>
      <c r="IL41" s="829"/>
      <c r="IQ41" s="1638">
        <v>18511192.82</v>
      </c>
      <c r="IR41" s="1001"/>
      <c r="JO41" s="1638">
        <v>38738988.590000004</v>
      </c>
      <c r="JQ41" s="258"/>
      <c r="JR41" s="258"/>
      <c r="JS41" s="258"/>
      <c r="JT41" s="258"/>
      <c r="JU41" s="258"/>
      <c r="JV41" s="258"/>
      <c r="JW41" s="1638">
        <v>4958184.66</v>
      </c>
      <c r="JX41" s="829"/>
      <c r="JY41" s="1638">
        <v>0</v>
      </c>
      <c r="JZ41" s="829"/>
      <c r="KA41" s="258"/>
      <c r="KB41" s="258"/>
      <c r="KC41" s="258"/>
      <c r="KD41" s="258"/>
      <c r="KE41" s="258"/>
      <c r="KF41" s="258"/>
      <c r="KG41" s="258"/>
      <c r="KH41" s="258"/>
      <c r="KI41" s="258"/>
      <c r="KJ41" s="258"/>
      <c r="KK41" s="245"/>
      <c r="KL41" s="1105"/>
      <c r="KM41" s="1105"/>
      <c r="KN41" s="245"/>
      <c r="KO41" s="245"/>
      <c r="KP41" s="245"/>
      <c r="KQ41" s="1105"/>
      <c r="KR41" s="1105"/>
      <c r="KS41" s="245"/>
      <c r="KT41" s="245"/>
      <c r="KU41" s="245"/>
      <c r="KV41" s="1105"/>
      <c r="KW41" s="1105"/>
      <c r="KX41" s="245"/>
      <c r="KY41" s="245"/>
      <c r="KZ41" s="245"/>
      <c r="LA41" s="1105"/>
      <c r="LB41" s="1105"/>
      <c r="LC41" s="245"/>
      <c r="LD41" s="245"/>
      <c r="LE41" s="245"/>
      <c r="LF41" s="245"/>
      <c r="LG41" s="245"/>
      <c r="LH41" s="1312"/>
      <c r="LI41" s="1312"/>
      <c r="LJ41" s="1224"/>
      <c r="LK41" s="245"/>
      <c r="LL41" s="1256">
        <v>464628426.23000002</v>
      </c>
      <c r="LM41" s="955"/>
      <c r="LN41" s="1256">
        <v>12588337.609999999</v>
      </c>
      <c r="LO41" s="955"/>
      <c r="LP41" s="955"/>
      <c r="LQ41" s="245"/>
      <c r="LR41" s="1233"/>
      <c r="LS41" s="1227"/>
      <c r="LT41" s="243"/>
      <c r="LU41" s="243"/>
      <c r="LV41" s="245"/>
      <c r="LW41" s="999"/>
      <c r="LX41" s="999"/>
      <c r="LY41" s="999"/>
      <c r="LZ41" s="1000"/>
      <c r="MA41" s="271"/>
      <c r="MB41" s="271"/>
      <c r="MC41" s="271"/>
      <c r="MD41" s="271"/>
      <c r="ME41" s="271"/>
      <c r="MF41" s="271"/>
      <c r="MG41" s="271"/>
      <c r="MH41" s="271"/>
      <c r="MI41" s="271"/>
      <c r="MJ41" s="271"/>
      <c r="MK41" s="271"/>
      <c r="ML41" s="271"/>
      <c r="MR41" s="1637">
        <v>61404023.75</v>
      </c>
      <c r="MS41" s="829"/>
      <c r="MT41" s="829"/>
      <c r="NW41" s="1256">
        <v>17248383.600000001</v>
      </c>
      <c r="NX41" s="829"/>
      <c r="NY41" s="243"/>
      <c r="NZ41" s="243"/>
      <c r="OA41" s="243"/>
      <c r="OB41" s="243"/>
      <c r="OC41" s="243"/>
      <c r="OD41" s="243"/>
      <c r="OE41" s="243"/>
      <c r="OF41" s="243"/>
      <c r="OG41" s="1256">
        <v>0</v>
      </c>
      <c r="OH41" s="829"/>
      <c r="OI41" s="1256">
        <v>7270928.0099999998</v>
      </c>
      <c r="OJ41" s="1656"/>
      <c r="OK41" s="243"/>
      <c r="OL41" s="243"/>
      <c r="OM41" s="243"/>
      <c r="ON41" s="243"/>
      <c r="OO41" s="243"/>
      <c r="OP41" s="243"/>
      <c r="OQ41" s="243"/>
      <c r="OR41" s="243"/>
      <c r="OS41" s="243"/>
      <c r="OT41" s="243"/>
      <c r="OU41" s="243"/>
      <c r="OV41" s="243"/>
      <c r="OW41" s="243"/>
      <c r="OX41" s="243"/>
      <c r="OY41" s="243"/>
      <c r="OZ41" s="243"/>
      <c r="PA41" s="243"/>
      <c r="PB41" s="243"/>
      <c r="PC41" s="243"/>
      <c r="PD41" s="243"/>
      <c r="PE41" s="243"/>
      <c r="PF41" s="243"/>
      <c r="PG41" s="243"/>
      <c r="PH41" s="243"/>
      <c r="PI41" s="243"/>
      <c r="PJ41" s="243"/>
      <c r="PK41" s="243"/>
      <c r="PL41" s="243"/>
      <c r="PM41" s="243"/>
      <c r="PN41" s="243"/>
      <c r="PO41" s="829"/>
      <c r="PP41" s="829"/>
      <c r="PQ41" s="829"/>
      <c r="PR41" s="829"/>
      <c r="PS41" s="1256">
        <v>32872646.16</v>
      </c>
      <c r="PT41" s="829"/>
      <c r="PU41" s="243"/>
      <c r="PV41" s="243"/>
      <c r="PW41" s="243"/>
      <c r="PX41" s="243"/>
      <c r="PY41" s="1636">
        <v>0</v>
      </c>
      <c r="PZ41" s="829"/>
      <c r="QA41" s="243"/>
      <c r="QB41" s="243"/>
      <c r="QC41" s="243"/>
      <c r="QD41" s="243"/>
      <c r="QE41" s="243"/>
      <c r="QF41" s="243"/>
      <c r="QG41" s="243"/>
      <c r="QH41" s="243"/>
      <c r="QI41" s="243"/>
      <c r="QJ41" s="243"/>
      <c r="QK41" s="243"/>
      <c r="QL41" s="243"/>
      <c r="QM41" s="243"/>
      <c r="QN41" s="243"/>
      <c r="QO41" s="243"/>
      <c r="QP41" s="243"/>
      <c r="QQ41" s="243"/>
      <c r="QR41" s="243"/>
      <c r="QS41" s="224"/>
      <c r="QT41" s="224"/>
      <c r="QU41" s="224"/>
      <c r="QV41" s="224"/>
      <c r="QW41" s="224"/>
      <c r="QX41" s="224"/>
      <c r="QY41" s="224"/>
      <c r="QZ41" s="224"/>
      <c r="RA41" s="231"/>
      <c r="RB41" s="223"/>
      <c r="RC41" s="223"/>
      <c r="RD41" s="225"/>
      <c r="RE41" s="223"/>
      <c r="RF41" s="225"/>
      <c r="RG41" s="245"/>
      <c r="RH41" s="245"/>
      <c r="RI41" s="245"/>
      <c r="RJ41" s="245"/>
      <c r="RK41" s="245"/>
      <c r="RL41" s="245"/>
      <c r="RM41" s="224"/>
      <c r="RN41" s="244"/>
      <c r="RO41" s="224"/>
      <c r="RP41" s="224"/>
      <c r="RQ41" s="244"/>
      <c r="RR41" s="244"/>
      <c r="RS41" s="224"/>
      <c r="RT41" s="224"/>
      <c r="RU41" s="224"/>
      <c r="RV41" s="224"/>
      <c r="RW41" s="224"/>
      <c r="RX41" s="224"/>
      <c r="RY41" s="224"/>
      <c r="RZ41" s="224"/>
      <c r="SA41" s="224"/>
      <c r="SB41" s="224"/>
      <c r="SC41" s="224"/>
      <c r="SD41" s="224"/>
      <c r="SE41" s="224"/>
      <c r="SF41" s="224"/>
      <c r="SG41" s="224"/>
      <c r="SH41" s="224"/>
      <c r="SI41" s="224"/>
      <c r="SJ41" s="224"/>
      <c r="SK41" s="224"/>
      <c r="SL41" s="224"/>
      <c r="SM41" s="224"/>
      <c r="SN41" s="224"/>
      <c r="SO41" s="224"/>
      <c r="SP41" s="224"/>
      <c r="SQ41" s="224"/>
      <c r="SR41" s="224"/>
      <c r="SS41" s="224"/>
      <c r="ST41" s="224"/>
      <c r="SU41" s="224"/>
      <c r="SV41" s="224"/>
      <c r="SW41" s="224"/>
      <c r="SX41" s="224"/>
      <c r="SY41" s="224"/>
      <c r="SZ41" s="224"/>
      <c r="TA41" s="224"/>
      <c r="TB41" s="224"/>
      <c r="TC41" s="224"/>
      <c r="TD41" s="997"/>
      <c r="TE41" s="224"/>
      <c r="TF41" s="224"/>
      <c r="TG41" s="224"/>
      <c r="TH41" s="224"/>
      <c r="TI41" s="224"/>
      <c r="TJ41" s="224"/>
      <c r="TK41" s="224"/>
      <c r="TL41" s="224"/>
      <c r="TM41" s="224"/>
      <c r="TN41" s="224"/>
      <c r="TO41" s="224"/>
      <c r="TP41" s="224"/>
      <c r="TQ41" s="224"/>
      <c r="TR41" s="224"/>
      <c r="TS41" s="224"/>
      <c r="TT41" s="224"/>
      <c r="TU41" s="224"/>
      <c r="TV41" s="224"/>
      <c r="TW41" s="224"/>
      <c r="TX41" s="224"/>
      <c r="TY41" s="224"/>
      <c r="TZ41" s="224"/>
      <c r="UA41" s="224"/>
      <c r="UB41" s="224"/>
      <c r="UC41" s="224"/>
      <c r="UD41" s="224"/>
      <c r="UE41" s="224"/>
      <c r="UF41" s="224"/>
      <c r="UG41" s="224"/>
      <c r="UH41" s="224"/>
      <c r="UI41" s="224"/>
      <c r="UJ41" s="224"/>
      <c r="UK41" s="224"/>
      <c r="UL41" s="224"/>
      <c r="UM41" s="224"/>
      <c r="UN41" s="224"/>
      <c r="UO41" s="224"/>
      <c r="UP41" s="224"/>
      <c r="UQ41" s="224"/>
      <c r="UR41" s="224"/>
      <c r="US41" s="1566"/>
      <c r="UT41" s="955"/>
      <c r="UU41" s="224"/>
      <c r="UV41" s="224"/>
      <c r="UW41" s="224"/>
      <c r="UX41" s="224"/>
      <c r="UY41" s="1256">
        <v>1058302.2</v>
      </c>
      <c r="UZ41" s="955"/>
      <c r="VA41" s="258"/>
      <c r="VB41" s="258"/>
      <c r="VC41" s="258"/>
      <c r="VD41" s="258"/>
      <c r="VE41" s="258"/>
      <c r="VF41" s="258"/>
      <c r="VG41" s="258"/>
      <c r="VH41" s="258">
        <f>VH40-VH37</f>
        <v>0</v>
      </c>
      <c r="VI41" s="246"/>
      <c r="VJ41" s="246"/>
      <c r="VK41" s="246"/>
      <c r="VL41" s="996"/>
      <c r="VM41" s="246"/>
      <c r="VN41" s="246"/>
      <c r="VO41" s="246"/>
      <c r="VP41" s="246"/>
      <c r="VQ41" s="246"/>
      <c r="VR41" s="246"/>
      <c r="VS41" s="246"/>
      <c r="VT41" s="246"/>
      <c r="VU41" s="231"/>
      <c r="VV41" s="231"/>
      <c r="VW41" s="290">
        <f>VW40-VW38</f>
        <v>0</v>
      </c>
      <c r="VX41" s="290">
        <f>VX40-VX38</f>
        <v>0</v>
      </c>
      <c r="VY41" s="296"/>
      <c r="VZ41" s="296"/>
      <c r="WA41" s="223"/>
      <c r="WB41" s="223"/>
      <c r="WC41" s="223"/>
      <c r="WD41" s="223"/>
      <c r="WE41" s="290">
        <f>WE40-WE38</f>
        <v>0</v>
      </c>
      <c r="WF41" s="290">
        <f>WF40-WF38</f>
        <v>0</v>
      </c>
      <c r="WG41" s="296"/>
      <c r="WH41" s="296"/>
      <c r="WI41" s="223"/>
      <c r="WJ41" s="223"/>
      <c r="WK41" s="223"/>
      <c r="WL41" s="223"/>
      <c r="WM41" s="223"/>
      <c r="WN41" s="223"/>
    </row>
    <row r="42" spans="1:612" s="398" customFormat="1" ht="19.5" customHeight="1" x14ac:dyDescent="0.3">
      <c r="A42" s="220"/>
      <c r="B42" s="221"/>
      <c r="C42" s="223"/>
      <c r="D42" s="231"/>
      <c r="I42" s="224"/>
      <c r="J42" s="224"/>
      <c r="K42" s="224"/>
      <c r="L42" s="224"/>
      <c r="M42" s="224"/>
      <c r="N42" s="224"/>
      <c r="O42" s="224"/>
      <c r="P42" s="224"/>
      <c r="Q42" s="223"/>
      <c r="R42" s="223"/>
      <c r="S42" s="223"/>
      <c r="T42" s="223"/>
      <c r="U42" s="223"/>
      <c r="V42" s="240"/>
      <c r="W42" s="223"/>
      <c r="X42" s="223"/>
      <c r="Y42" s="223"/>
      <c r="Z42" s="223"/>
      <c r="AA42" s="240"/>
      <c r="AB42" s="223"/>
      <c r="AC42" s="240"/>
      <c r="AD42" s="240"/>
      <c r="AE42" s="240"/>
      <c r="AF42" s="240"/>
      <c r="AG42" s="240"/>
      <c r="AH42" s="240"/>
      <c r="AI42" s="225"/>
      <c r="AJ42" s="270"/>
      <c r="AK42" s="270"/>
      <c r="AL42" s="243"/>
      <c r="AM42" s="243"/>
      <c r="AN42" s="243"/>
      <c r="AO42" s="243"/>
      <c r="AP42" s="270"/>
      <c r="AQ42" s="276">
        <f>AQ40-AQ38</f>
        <v>0</v>
      </c>
      <c r="AR42" s="276">
        <f>AR40-AR38</f>
        <v>0</v>
      </c>
      <c r="AS42" s="276"/>
      <c r="AT42" s="276">
        <f>AT40-AT38</f>
        <v>0</v>
      </c>
      <c r="AU42" s="270"/>
      <c r="AV42" s="242"/>
      <c r="AW42" s="242"/>
      <c r="AX42" s="242"/>
      <c r="AY42" s="270"/>
      <c r="AZ42" s="242"/>
      <c r="BA42" s="242"/>
      <c r="BB42" s="276"/>
      <c r="BC42" s="270"/>
      <c r="BD42" s="258"/>
      <c r="BE42" s="258"/>
      <c r="BF42" s="258"/>
      <c r="BG42" s="270"/>
      <c r="BH42" s="258"/>
      <c r="BI42" s="258"/>
      <c r="BJ42" s="258"/>
      <c r="BK42" s="270"/>
      <c r="BL42" s="258"/>
      <c r="BM42" s="258"/>
      <c r="BN42" s="258"/>
      <c r="BO42" s="270"/>
      <c r="BP42" s="258"/>
      <c r="BQ42" s="258"/>
      <c r="BR42" s="258"/>
      <c r="BS42" s="243"/>
      <c r="BT42" s="243"/>
      <c r="BU42" s="243"/>
      <c r="BV42" s="276"/>
      <c r="BW42" s="243"/>
      <c r="BX42" s="276">
        <f>BX40-BX38</f>
        <v>0</v>
      </c>
      <c r="BY42" s="276">
        <f>BY40-BY38</f>
        <v>0</v>
      </c>
      <c r="BZ42" s="276">
        <f>BZ40-BZ38</f>
        <v>0</v>
      </c>
      <c r="CA42" s="243"/>
      <c r="CB42" s="243"/>
      <c r="CC42" s="243"/>
      <c r="CD42" s="276"/>
      <c r="CE42" s="243"/>
      <c r="CF42" s="243"/>
      <c r="CG42" s="243"/>
      <c r="CH42" s="276"/>
      <c r="CI42" s="271"/>
      <c r="CJ42" s="271"/>
      <c r="CK42" s="271"/>
      <c r="CL42" s="271"/>
      <c r="CM42" s="271"/>
      <c r="CN42" s="271"/>
      <c r="CO42" s="271"/>
      <c r="CP42" s="271"/>
      <c r="CS42" s="224"/>
      <c r="CT42" s="224"/>
      <c r="CU42" s="224"/>
      <c r="CV42" s="224"/>
      <c r="CW42" s="224"/>
      <c r="CX42" s="224"/>
      <c r="CY42" s="224"/>
      <c r="CZ42" s="276">
        <f>CZ40-CZ38</f>
        <v>0</v>
      </c>
      <c r="DA42" s="224"/>
      <c r="DB42" s="224"/>
      <c r="DC42" s="224"/>
      <c r="DD42" s="224"/>
      <c r="DE42" s="224"/>
      <c r="DF42" s="224"/>
      <c r="DG42" s="243"/>
      <c r="DH42" s="243"/>
      <c r="DI42" s="243"/>
      <c r="DJ42" s="243"/>
      <c r="DK42" s="276">
        <f>DK40-DK37</f>
        <v>0</v>
      </c>
      <c r="DL42" s="276">
        <f>DL40-DL37</f>
        <v>0</v>
      </c>
      <c r="DM42" s="276"/>
      <c r="DN42" s="276"/>
      <c r="DO42" s="276"/>
      <c r="DP42" s="276"/>
      <c r="DQ42" s="276"/>
      <c r="DR42" s="276"/>
      <c r="DS42" s="276"/>
      <c r="DT42" s="276"/>
      <c r="DU42" s="276"/>
      <c r="DV42" s="276">
        <f>DV40-DV37</f>
        <v>0</v>
      </c>
      <c r="DW42" s="276">
        <f t="shared" ref="DW42:DX42" si="557">DW40-DW37</f>
        <v>0</v>
      </c>
      <c r="DX42" s="276">
        <f t="shared" si="557"/>
        <v>0</v>
      </c>
      <c r="DY42" s="276">
        <f t="shared" ref="DY42:DZ42" si="558">DY40-DY37</f>
        <v>0</v>
      </c>
      <c r="DZ42" s="276">
        <f t="shared" si="558"/>
        <v>0</v>
      </c>
      <c r="EA42" s="276">
        <f>EA40-EA37</f>
        <v>0</v>
      </c>
      <c r="EB42" s="276">
        <f>EB40-EB37</f>
        <v>0</v>
      </c>
      <c r="EC42" s="243"/>
      <c r="ED42" s="243"/>
      <c r="EE42" s="243"/>
      <c r="EF42" s="243"/>
      <c r="EG42" s="276">
        <f>EG40-EG37</f>
        <v>0</v>
      </c>
      <c r="EH42" s="276">
        <f>EH40-EH37</f>
        <v>0</v>
      </c>
      <c r="EI42" s="243"/>
      <c r="EJ42" s="243"/>
      <c r="EK42" s="243"/>
      <c r="EL42" s="243"/>
      <c r="EM42" s="243"/>
      <c r="EN42" s="243"/>
      <c r="EO42" s="276">
        <f>EO40-EO37</f>
        <v>0</v>
      </c>
      <c r="EP42" s="276">
        <f t="shared" ref="EP42:ER42" si="559">EP40-EP37</f>
        <v>0</v>
      </c>
      <c r="EQ42" s="276">
        <f t="shared" si="559"/>
        <v>0</v>
      </c>
      <c r="ER42" s="276">
        <f t="shared" si="559"/>
        <v>0</v>
      </c>
      <c r="ES42" s="243"/>
      <c r="ET42" s="243"/>
      <c r="EU42" s="243"/>
      <c r="EV42" s="243"/>
      <c r="EW42" s="276">
        <f>EW40-EW37</f>
        <v>0</v>
      </c>
      <c r="EX42" s="276">
        <f>EX40-EX37</f>
        <v>0</v>
      </c>
      <c r="EY42" s="243"/>
      <c r="EZ42" s="243"/>
      <c r="FA42" s="243"/>
      <c r="FB42" s="243"/>
      <c r="FC42" s="276">
        <f>FC40-FC37</f>
        <v>0</v>
      </c>
      <c r="FD42" s="276">
        <f>FD40-FD37</f>
        <v>0</v>
      </c>
      <c r="FE42" s="276"/>
      <c r="FF42" s="276"/>
      <c r="FG42" s="276"/>
      <c r="FH42" s="276"/>
      <c r="FI42" s="276">
        <f>FI40-FI37</f>
        <v>8.3819031715393066E-9</v>
      </c>
      <c r="FJ42" s="276">
        <f>FJ40-FJ37</f>
        <v>0</v>
      </c>
      <c r="FK42" s="276"/>
      <c r="FL42" s="276"/>
      <c r="FM42" s="276"/>
      <c r="FN42" s="276"/>
      <c r="FO42" s="276">
        <f>FO40-FO38</f>
        <v>0</v>
      </c>
      <c r="FP42" s="276">
        <f>FP40-FP38</f>
        <v>0</v>
      </c>
      <c r="FQ42" s="276"/>
      <c r="FR42" s="276"/>
      <c r="FS42" s="276"/>
      <c r="FT42" s="276"/>
      <c r="FU42" s="276"/>
      <c r="FV42" s="276"/>
      <c r="FW42" s="276"/>
      <c r="FX42" s="276"/>
      <c r="FY42" s="276"/>
      <c r="FZ42" s="276"/>
      <c r="GA42" s="276"/>
      <c r="GB42" s="276"/>
      <c r="GC42" s="276"/>
      <c r="GD42" s="276"/>
      <c r="GE42" s="276">
        <f>GE40-GE38</f>
        <v>0</v>
      </c>
      <c r="GF42" s="276">
        <f>GF40-GF38</f>
        <v>0</v>
      </c>
      <c r="GG42" s="276"/>
      <c r="GH42" s="276"/>
      <c r="GI42" s="276"/>
      <c r="GJ42" s="276"/>
      <c r="GK42" s="276"/>
      <c r="GL42" s="276"/>
      <c r="GM42" s="276">
        <f>GM40-GM38</f>
        <v>0</v>
      </c>
      <c r="GN42" s="276">
        <f>GN40-GN38</f>
        <v>0</v>
      </c>
      <c r="GO42" s="276">
        <f>GO40-GO38</f>
        <v>0</v>
      </c>
      <c r="GP42" s="276">
        <f>GP40-GP38</f>
        <v>0</v>
      </c>
      <c r="GQ42" s="276"/>
      <c r="GR42" s="276"/>
      <c r="GS42" s="276"/>
      <c r="GT42" s="276"/>
      <c r="GU42" s="276"/>
      <c r="GV42" s="276"/>
      <c r="GW42" s="276"/>
      <c r="GX42" s="276"/>
      <c r="GY42" s="276"/>
      <c r="GZ42" s="276"/>
      <c r="HA42" s="276"/>
      <c r="HB42" s="276"/>
      <c r="HC42" s="276"/>
      <c r="HD42" s="276"/>
      <c r="HE42" s="276"/>
      <c r="HF42" s="276"/>
      <c r="HG42" s="276"/>
      <c r="HH42" s="276"/>
      <c r="HI42" s="276"/>
      <c r="HJ42" s="276"/>
      <c r="HK42" s="276"/>
      <c r="HL42" s="276"/>
      <c r="HM42" s="276"/>
      <c r="HN42" s="276"/>
      <c r="HO42" s="276"/>
      <c r="HP42" s="276"/>
      <c r="HQ42" s="276"/>
      <c r="HR42" s="276"/>
      <c r="HS42" s="276"/>
      <c r="HT42" s="276"/>
      <c r="HU42" s="276"/>
      <c r="HV42" s="276"/>
      <c r="HW42" s="276"/>
      <c r="HX42" s="276"/>
      <c r="HY42" s="276">
        <f>HY40-HY37</f>
        <v>0</v>
      </c>
      <c r="HZ42" s="276">
        <f>HZ40-HZ37</f>
        <v>0</v>
      </c>
      <c r="IA42" s="276"/>
      <c r="IB42" s="276"/>
      <c r="IC42" s="276"/>
      <c r="ID42" s="276"/>
      <c r="IE42" s="276">
        <f>IE40-IE37</f>
        <v>0</v>
      </c>
      <c r="IF42" s="276">
        <f>IF40-IF37</f>
        <v>0</v>
      </c>
      <c r="IG42" s="276"/>
      <c r="IH42" s="276"/>
      <c r="II42" s="276"/>
      <c r="IJ42" s="276"/>
      <c r="IK42" s="276">
        <f>IK40-IK37</f>
        <v>0</v>
      </c>
      <c r="IL42" s="276">
        <f>IL40-IL37</f>
        <v>0</v>
      </c>
      <c r="IQ42" s="276">
        <f>IQ40-IQ38</f>
        <v>0</v>
      </c>
      <c r="IR42" s="276">
        <f>IR40-IR38</f>
        <v>0</v>
      </c>
      <c r="JO42" s="863">
        <f>JO40-JO37</f>
        <v>0</v>
      </c>
      <c r="JP42" s="863">
        <f>JP40-JP37</f>
        <v>0</v>
      </c>
      <c r="JQ42" s="258"/>
      <c r="JR42" s="258"/>
      <c r="JS42" s="258"/>
      <c r="JT42" s="258"/>
      <c r="JU42" s="258"/>
      <c r="JV42" s="258"/>
      <c r="JW42" s="258">
        <f>JW40-JW38</f>
        <v>0</v>
      </c>
      <c r="JX42" s="258">
        <f>JX40-JX38</f>
        <v>0</v>
      </c>
      <c r="JY42" s="258">
        <f t="shared" ref="JY42:JZ42" si="560">JY40-JY38</f>
        <v>0</v>
      </c>
      <c r="JZ42" s="258">
        <f t="shared" si="560"/>
        <v>0</v>
      </c>
      <c r="KA42" s="258"/>
      <c r="KB42" s="258"/>
      <c r="KC42" s="258"/>
      <c r="KD42" s="258"/>
      <c r="KE42" s="258"/>
      <c r="KF42" s="258"/>
      <c r="KG42" s="258"/>
      <c r="KH42" s="258"/>
      <c r="KI42" s="258"/>
      <c r="KJ42" s="258"/>
      <c r="KK42" s="245"/>
      <c r="KL42" s="1105"/>
      <c r="KM42" s="1105"/>
      <c r="KN42" s="245"/>
      <c r="KO42" s="245"/>
      <c r="KP42" s="245"/>
      <c r="KQ42" s="1105"/>
      <c r="KR42" s="1105"/>
      <c r="KS42" s="245"/>
      <c r="KT42" s="245"/>
      <c r="KU42" s="245"/>
      <c r="KV42" s="1105"/>
      <c r="KW42" s="1105"/>
      <c r="KX42" s="245"/>
      <c r="KY42" s="245"/>
      <c r="KZ42" s="245"/>
      <c r="LA42" s="1105"/>
      <c r="LB42" s="1105"/>
      <c r="LC42" s="245"/>
      <c r="LD42" s="245"/>
      <c r="LE42" s="245"/>
      <c r="LF42" s="245"/>
      <c r="LG42" s="245"/>
      <c r="LH42" s="1312"/>
      <c r="LI42" s="1312"/>
      <c r="LJ42" s="1224"/>
      <c r="LK42" s="245"/>
      <c r="LL42" s="276">
        <f>LL40-LL37</f>
        <v>0</v>
      </c>
      <c r="LM42" s="276">
        <f>LM40-LM37</f>
        <v>0</v>
      </c>
      <c r="LN42" s="276">
        <f>LN40-LN37</f>
        <v>0</v>
      </c>
      <c r="LO42" s="276">
        <f>LO40-LO37</f>
        <v>0</v>
      </c>
      <c r="LP42" s="276">
        <f>LP40-LP37</f>
        <v>0</v>
      </c>
      <c r="LQ42" s="245"/>
      <c r="LR42" s="1233"/>
      <c r="LS42" s="1227"/>
      <c r="LT42" s="243"/>
      <c r="LU42" s="243"/>
      <c r="LV42" s="245"/>
      <c r="LW42" s="276"/>
      <c r="LX42" s="276">
        <f t="shared" ref="LX42" si="561">LX40-LX37</f>
        <v>0</v>
      </c>
      <c r="LY42" s="276">
        <f>LY40-LY37</f>
        <v>0</v>
      </c>
      <c r="LZ42" s="276">
        <f>LZ40-LZ37</f>
        <v>0</v>
      </c>
      <c r="MA42" s="276"/>
      <c r="MB42" s="276"/>
      <c r="MC42" s="276"/>
      <c r="MD42" s="276"/>
      <c r="ME42" s="276"/>
      <c r="MF42" s="276">
        <f>MF40-MF37</f>
        <v>0</v>
      </c>
      <c r="MG42" s="276"/>
      <c r="MH42" s="276">
        <f>MH40-MG37</f>
        <v>0</v>
      </c>
      <c r="MI42" s="276"/>
      <c r="MJ42" s="276"/>
      <c r="MK42" s="276"/>
      <c r="ML42" s="276"/>
      <c r="MR42" s="276">
        <f>MR40-MR38</f>
        <v>0</v>
      </c>
      <c r="MS42" s="276">
        <f>MS40-MS38</f>
        <v>0</v>
      </c>
      <c r="MT42" s="276">
        <f>MT40-MT38</f>
        <v>0</v>
      </c>
      <c r="NW42" s="276">
        <f>NW40-NW37</f>
        <v>0</v>
      </c>
      <c r="NX42" s="276">
        <f>NX40-NX37</f>
        <v>0</v>
      </c>
      <c r="NY42" s="243"/>
      <c r="NZ42" s="243"/>
      <c r="OA42" s="243"/>
      <c r="OB42" s="243"/>
      <c r="OC42" s="243"/>
      <c r="OD42" s="243"/>
      <c r="OE42" s="243"/>
      <c r="OF42" s="243"/>
      <c r="OG42" s="276">
        <f>OG40-OG37</f>
        <v>0</v>
      </c>
      <c r="OH42" s="276">
        <f>OH40-OH37</f>
        <v>0</v>
      </c>
      <c r="OI42" s="276">
        <f>OI40-OI37</f>
        <v>0</v>
      </c>
      <c r="OJ42" s="276">
        <f>OJ40-OJ37</f>
        <v>0</v>
      </c>
      <c r="OK42" s="276"/>
      <c r="OL42" s="276"/>
      <c r="OM42" s="243"/>
      <c r="ON42" s="243"/>
      <c r="OO42" s="243"/>
      <c r="OP42" s="243"/>
      <c r="OQ42" s="243"/>
      <c r="OR42" s="243"/>
      <c r="OS42" s="243"/>
      <c r="OT42" s="243"/>
      <c r="OU42" s="243"/>
      <c r="OV42" s="243"/>
      <c r="OW42" s="243"/>
      <c r="OX42" s="243"/>
      <c r="OY42" s="243"/>
      <c r="OZ42" s="243"/>
      <c r="PA42" s="243"/>
      <c r="PB42" s="243"/>
      <c r="PC42" s="243"/>
      <c r="PD42" s="243"/>
      <c r="PE42" s="243"/>
      <c r="PF42" s="243"/>
      <c r="PG42" s="243"/>
      <c r="PH42" s="243"/>
      <c r="PI42" s="243"/>
      <c r="PJ42" s="243"/>
      <c r="PK42" s="243"/>
      <c r="PL42" s="243"/>
      <c r="PM42" s="243"/>
      <c r="PN42" s="243"/>
      <c r="PO42" s="276"/>
      <c r="PP42" s="276"/>
      <c r="PQ42" s="276"/>
      <c r="PR42" s="276"/>
      <c r="PS42" s="276">
        <f>PS40-PS37</f>
        <v>1.1641532182693481E-9</v>
      </c>
      <c r="PT42" s="276">
        <f>PT40-PT37</f>
        <v>0</v>
      </c>
      <c r="PU42" s="243"/>
      <c r="PV42" s="243"/>
      <c r="PW42" s="243"/>
      <c r="PX42" s="243"/>
      <c r="PY42" s="276">
        <f>PY40-PY37</f>
        <v>0</v>
      </c>
      <c r="PZ42" s="276">
        <f>PZ40-PZ37</f>
        <v>0</v>
      </c>
      <c r="QA42" s="243"/>
      <c r="QB42" s="243"/>
      <c r="QC42" s="243"/>
      <c r="QD42" s="243"/>
      <c r="QE42" s="243"/>
      <c r="QF42" s="243"/>
      <c r="QG42" s="243"/>
      <c r="QH42" s="243"/>
      <c r="QI42" s="243"/>
      <c r="QJ42" s="243"/>
      <c r="QK42" s="243"/>
      <c r="QL42" s="243"/>
      <c r="QM42" s="243"/>
      <c r="QN42" s="243"/>
      <c r="QO42" s="243"/>
      <c r="QP42" s="243"/>
      <c r="QQ42" s="243"/>
      <c r="QR42" s="243"/>
      <c r="QS42" s="224"/>
      <c r="QT42" s="224"/>
      <c r="QU42" s="224"/>
      <c r="QV42" s="224"/>
      <c r="QW42" s="224"/>
      <c r="QX42" s="224"/>
      <c r="QY42" s="224"/>
      <c r="QZ42" s="224"/>
      <c r="RA42" s="231"/>
      <c r="RB42" s="223"/>
      <c r="RC42" s="223"/>
      <c r="RD42" s="225"/>
      <c r="RE42" s="223"/>
      <c r="RF42" s="225"/>
      <c r="RG42" s="245"/>
      <c r="RH42" s="245"/>
      <c r="RI42" s="245"/>
      <c r="RJ42" s="245"/>
      <c r="RK42" s="245"/>
      <c r="RL42" s="245"/>
      <c r="RM42" s="224"/>
      <c r="RN42" s="244"/>
      <c r="RO42" s="224"/>
      <c r="RP42" s="224"/>
      <c r="RQ42" s="244"/>
      <c r="RR42" s="244"/>
      <c r="RS42" s="224"/>
      <c r="RT42" s="224"/>
      <c r="RU42" s="224"/>
      <c r="RV42" s="224"/>
      <c r="RW42" s="224"/>
      <c r="RX42" s="224"/>
      <c r="RY42" s="224"/>
      <c r="RZ42" s="224"/>
      <c r="SA42" s="224"/>
      <c r="SB42" s="224"/>
      <c r="SC42" s="224"/>
      <c r="SD42" s="224"/>
      <c r="SE42" s="224"/>
      <c r="SF42" s="224"/>
      <c r="SG42" s="224"/>
      <c r="SH42" s="224"/>
      <c r="SI42" s="258"/>
      <c r="SJ42" s="258"/>
      <c r="SK42" s="258"/>
      <c r="SL42" s="258"/>
      <c r="SM42" s="258"/>
      <c r="SN42" s="258"/>
      <c r="SO42" s="258"/>
      <c r="SP42" s="258"/>
      <c r="SQ42" s="258"/>
      <c r="SR42" s="258"/>
      <c r="SS42" s="258"/>
      <c r="ST42" s="258"/>
      <c r="SU42" s="258"/>
      <c r="SV42" s="258"/>
      <c r="SW42" s="258"/>
      <c r="SX42" s="258"/>
      <c r="SY42" s="258"/>
      <c r="SZ42" s="258"/>
      <c r="TA42" s="224"/>
      <c r="TB42" s="224"/>
      <c r="TC42" s="224"/>
      <c r="TD42" s="276">
        <f>TD40-TD38</f>
        <v>-78550509.170000032</v>
      </c>
      <c r="TE42" s="224"/>
      <c r="TF42" s="224"/>
      <c r="TG42" s="224"/>
      <c r="TH42" s="224"/>
      <c r="TI42" s="224"/>
      <c r="TJ42" s="224"/>
      <c r="TK42" s="224"/>
      <c r="TL42" s="224"/>
      <c r="TM42" s="224"/>
      <c r="TN42" s="224"/>
      <c r="TO42" s="224"/>
      <c r="TP42" s="224"/>
      <c r="TQ42" s="224"/>
      <c r="TR42" s="224"/>
      <c r="TS42" s="224"/>
      <c r="TT42" s="224"/>
      <c r="TU42" s="224"/>
      <c r="TV42" s="224"/>
      <c r="TW42" s="224"/>
      <c r="TX42" s="224"/>
      <c r="TY42" s="224"/>
      <c r="TZ42" s="224"/>
      <c r="UA42" s="224"/>
      <c r="UB42" s="224"/>
      <c r="UC42" s="224"/>
      <c r="UD42" s="224"/>
      <c r="UE42" s="224"/>
      <c r="UF42" s="224"/>
      <c r="UG42" s="224"/>
      <c r="UH42" s="224"/>
      <c r="UI42" s="224"/>
      <c r="UJ42" s="224"/>
      <c r="UK42" s="224"/>
      <c r="UL42" s="224"/>
      <c r="UM42" s="224"/>
      <c r="UN42" s="224"/>
      <c r="UO42" s="224"/>
      <c r="UP42" s="224"/>
      <c r="UQ42" s="224"/>
      <c r="UR42" s="224"/>
      <c r="US42" s="224"/>
      <c r="UT42" s="224"/>
      <c r="UU42" s="224"/>
      <c r="UV42" s="224"/>
      <c r="UW42" s="224"/>
      <c r="UX42" s="224"/>
      <c r="UY42" s="1632">
        <f>UY40-UY37</f>
        <v>0</v>
      </c>
      <c r="UZ42" s="1632"/>
      <c r="VA42" s="258"/>
      <c r="VB42" s="258"/>
      <c r="VC42" s="258"/>
      <c r="VD42" s="258"/>
      <c r="VE42" s="258"/>
      <c r="VF42" s="258"/>
      <c r="VG42" s="258"/>
      <c r="VH42" s="258"/>
      <c r="VI42" s="246"/>
      <c r="VJ42" s="246"/>
      <c r="VK42" s="246"/>
      <c r="VL42" s="258">
        <f>VL40-VL37</f>
        <v>0</v>
      </c>
      <c r="VM42" s="246"/>
      <c r="VN42" s="246"/>
      <c r="VO42" s="246"/>
      <c r="VP42" s="246"/>
      <c r="VQ42" s="246"/>
      <c r="VR42" s="246"/>
      <c r="VS42" s="246"/>
      <c r="VT42" s="246"/>
      <c r="VU42" s="231"/>
      <c r="VV42" s="231"/>
      <c r="VW42" s="223"/>
      <c r="VX42" s="223"/>
      <c r="VY42" s="296"/>
      <c r="VZ42" s="296"/>
      <c r="WA42" s="223"/>
      <c r="WB42" s="223"/>
      <c r="WC42" s="223"/>
      <c r="WD42" s="223"/>
      <c r="WE42" s="223"/>
      <c r="WF42" s="223"/>
      <c r="WG42" s="296"/>
      <c r="WH42" s="296"/>
      <c r="WI42" s="223"/>
      <c r="WJ42" s="223"/>
      <c r="WK42" s="223"/>
      <c r="WL42" s="223"/>
      <c r="WM42" s="223"/>
      <c r="WN42" s="223"/>
    </row>
    <row r="43" spans="1:612" ht="19.5" customHeight="1" x14ac:dyDescent="0.3">
      <c r="A43" s="220"/>
      <c r="B43" s="221"/>
      <c r="D43" s="231"/>
      <c r="F43" s="224"/>
      <c r="G43" s="224"/>
      <c r="H43" s="224"/>
      <c r="I43" s="224"/>
      <c r="J43" s="224"/>
      <c r="K43" s="224"/>
      <c r="L43" s="224"/>
      <c r="M43" s="224"/>
      <c r="N43" s="224"/>
      <c r="O43" s="224"/>
      <c r="P43" s="224"/>
      <c r="V43" s="240"/>
      <c r="AA43" s="240"/>
      <c r="AC43" s="240"/>
      <c r="AD43" s="240"/>
      <c r="AE43" s="240"/>
      <c r="AF43" s="240"/>
      <c r="AG43" s="240"/>
      <c r="AH43" s="240"/>
      <c r="AI43" s="225"/>
      <c r="AJ43" s="270"/>
      <c r="AK43" s="270"/>
      <c r="AL43" s="243"/>
      <c r="AM43" s="243"/>
      <c r="AN43" s="243"/>
      <c r="AO43" s="243"/>
      <c r="AP43" s="270"/>
      <c r="AQ43" s="243"/>
      <c r="AR43" s="271"/>
      <c r="AS43" s="271"/>
      <c r="AT43" s="271"/>
      <c r="AU43" s="270"/>
      <c r="AV43" s="242"/>
      <c r="AW43" s="242"/>
      <c r="AX43" s="242"/>
      <c r="AY43" s="270"/>
      <c r="AZ43" s="242"/>
      <c r="BA43" s="275"/>
      <c r="BB43" s="275"/>
      <c r="BC43" s="270"/>
      <c r="BD43" s="258"/>
      <c r="BE43" s="258"/>
      <c r="BF43" s="258"/>
      <c r="BG43" s="270"/>
      <c r="BH43" s="258"/>
      <c r="BI43" s="258"/>
      <c r="BJ43" s="258"/>
      <c r="BK43" s="270"/>
      <c r="BL43" s="258"/>
      <c r="BM43" s="258"/>
      <c r="BN43" s="258"/>
      <c r="BO43" s="270"/>
      <c r="BP43" s="258"/>
      <c r="BQ43" s="258"/>
      <c r="BR43" s="258"/>
      <c r="BS43" s="243"/>
      <c r="BT43" s="243"/>
      <c r="BU43" s="243"/>
      <c r="BV43" s="245"/>
      <c r="BW43" s="243"/>
      <c r="BX43" s="243"/>
      <c r="BY43" s="243"/>
      <c r="BZ43" s="245"/>
      <c r="CA43" s="243"/>
      <c r="CB43" s="243"/>
      <c r="CC43" s="243"/>
      <c r="CD43" s="245"/>
      <c r="CE43" s="243"/>
      <c r="CF43" s="243"/>
      <c r="CG43" s="243"/>
      <c r="CH43" s="245"/>
      <c r="CI43" s="271"/>
      <c r="CJ43" s="271"/>
      <c r="CK43" s="271"/>
      <c r="CL43" s="271"/>
      <c r="CM43" s="271"/>
      <c r="CN43" s="271"/>
      <c r="CO43" s="271"/>
      <c r="CP43" s="271"/>
      <c r="CQ43" s="224"/>
      <c r="CR43" s="270"/>
      <c r="CS43" s="224"/>
      <c r="CT43" s="224"/>
      <c r="CU43" s="224"/>
      <c r="CV43" s="224"/>
      <c r="CW43" s="224"/>
      <c r="CX43" s="224"/>
      <c r="CY43" s="224"/>
      <c r="CZ43" s="275"/>
      <c r="DA43" s="224"/>
      <c r="DB43" s="224"/>
      <c r="DC43" s="224"/>
      <c r="DD43" s="224"/>
      <c r="DE43" s="224"/>
      <c r="DF43" s="224"/>
      <c r="DG43" s="224"/>
      <c r="DH43" s="224"/>
      <c r="DI43" s="224"/>
      <c r="DJ43" s="224"/>
      <c r="DK43" s="224"/>
      <c r="DL43" s="224"/>
      <c r="DM43" s="271"/>
      <c r="DN43" s="271"/>
      <c r="DO43" s="271"/>
      <c r="DP43" s="271"/>
      <c r="DQ43" s="271"/>
      <c r="DR43" s="271"/>
      <c r="DS43" s="271"/>
      <c r="DT43" s="271"/>
      <c r="DU43" s="271"/>
      <c r="DV43" s="271"/>
      <c r="DW43" s="271"/>
      <c r="DX43" s="271"/>
      <c r="DY43" s="271"/>
      <c r="DZ43" s="271"/>
      <c r="EA43" s="271"/>
      <c r="EB43" s="271"/>
      <c r="EC43" s="271"/>
      <c r="ED43" s="271"/>
      <c r="EE43" s="271"/>
      <c r="EF43" s="271"/>
      <c r="EG43" s="271"/>
      <c r="EH43" s="271"/>
      <c r="EI43" s="243"/>
      <c r="EJ43" s="243"/>
      <c r="EK43" s="243"/>
      <c r="EL43" s="243"/>
      <c r="EM43" s="243"/>
      <c r="EN43" s="243"/>
      <c r="EO43" s="243"/>
      <c r="EP43" s="243"/>
      <c r="EQ43" s="243"/>
      <c r="ER43" s="243"/>
      <c r="ES43" s="243"/>
      <c r="ET43" s="243"/>
      <c r="EU43" s="243"/>
      <c r="EV43" s="243"/>
      <c r="EW43" s="243"/>
      <c r="EX43" s="243"/>
      <c r="EY43" s="243"/>
      <c r="EZ43" s="243"/>
      <c r="FA43" s="243"/>
      <c r="FB43" s="243"/>
      <c r="FC43" s="243"/>
      <c r="FD43" s="243"/>
      <c r="FE43" s="271"/>
      <c r="FF43" s="271"/>
      <c r="FG43" s="271"/>
      <c r="FH43" s="271"/>
      <c r="FI43" s="271"/>
      <c r="FJ43" s="271"/>
      <c r="FK43" s="271"/>
      <c r="FL43" s="271"/>
      <c r="FM43" s="271"/>
      <c r="FN43" s="271"/>
      <c r="FO43" s="271"/>
      <c r="FP43" s="271"/>
      <c r="FQ43" s="271"/>
      <c r="FR43" s="271"/>
      <c r="FS43" s="271"/>
      <c r="FT43" s="271"/>
      <c r="FU43" s="271"/>
      <c r="FV43" s="271"/>
      <c r="FW43" s="271"/>
      <c r="FX43" s="271"/>
      <c r="FY43" s="271"/>
      <c r="FZ43" s="271"/>
      <c r="GA43" s="271"/>
      <c r="GB43" s="271"/>
      <c r="GC43" s="271"/>
      <c r="GD43" s="271"/>
      <c r="GE43" s="271"/>
      <c r="GF43" s="271"/>
      <c r="GG43" s="271"/>
      <c r="GH43" s="271"/>
      <c r="GI43" s="271"/>
      <c r="GJ43" s="271"/>
      <c r="GK43" s="271"/>
      <c r="GL43" s="271"/>
      <c r="GM43" s="271"/>
      <c r="GN43" s="271"/>
      <c r="GO43" s="271"/>
      <c r="GP43" s="271"/>
      <c r="GQ43" s="271"/>
      <c r="GR43" s="271"/>
      <c r="GS43" s="271"/>
      <c r="GT43" s="271"/>
      <c r="GU43" s="271"/>
      <c r="GV43" s="271"/>
      <c r="GW43" s="271"/>
      <c r="GX43" s="271"/>
      <c r="GY43" s="271"/>
      <c r="GZ43" s="271"/>
      <c r="HA43" s="271"/>
      <c r="HB43" s="271"/>
      <c r="HC43" s="271"/>
      <c r="HD43" s="271"/>
      <c r="HE43" s="271"/>
      <c r="HF43" s="271"/>
      <c r="HG43" s="271"/>
      <c r="HH43" s="271"/>
      <c r="HI43" s="271"/>
      <c r="HJ43" s="271"/>
      <c r="HK43" s="271"/>
      <c r="HL43" s="271"/>
      <c r="HM43" s="271"/>
      <c r="HN43" s="271"/>
      <c r="HO43" s="271"/>
      <c r="HP43" s="271"/>
      <c r="HQ43" s="271"/>
      <c r="HR43" s="271"/>
      <c r="HS43" s="271"/>
      <c r="HT43" s="271"/>
      <c r="HU43" s="271"/>
      <c r="HV43" s="271"/>
      <c r="HW43" s="271"/>
      <c r="HX43" s="271"/>
      <c r="HY43" s="271"/>
      <c r="HZ43" s="271"/>
      <c r="IA43" s="271"/>
      <c r="IB43" s="271"/>
      <c r="IC43" s="271"/>
      <c r="ID43" s="271"/>
      <c r="IE43" s="271"/>
      <c r="IF43" s="271"/>
      <c r="IG43" s="271"/>
      <c r="IH43" s="271"/>
      <c r="II43" s="271"/>
      <c r="IJ43" s="271"/>
      <c r="IK43" s="271"/>
      <c r="IL43" s="271"/>
      <c r="IM43" s="271"/>
      <c r="IN43" s="271"/>
      <c r="IO43" s="271"/>
      <c r="IP43" s="271"/>
      <c r="IQ43" s="271"/>
      <c r="IR43" s="271"/>
      <c r="IS43" s="271"/>
      <c r="IT43" s="271"/>
      <c r="IU43" s="271"/>
      <c r="IV43" s="271"/>
      <c r="IW43" s="271"/>
      <c r="IX43" s="271"/>
      <c r="JQ43" s="246"/>
      <c r="JR43" s="246"/>
      <c r="JS43" s="246"/>
      <c r="JT43" s="246"/>
      <c r="JU43" s="246"/>
      <c r="JV43" s="246"/>
      <c r="JW43" s="246"/>
      <c r="JX43" s="246"/>
      <c r="JY43" s="246"/>
      <c r="JZ43" s="246"/>
      <c r="KA43" s="246"/>
      <c r="KB43" s="246"/>
      <c r="KC43" s="246"/>
      <c r="KD43" s="246"/>
      <c r="KE43" s="246"/>
      <c r="KF43" s="246"/>
      <c r="KG43" s="246"/>
      <c r="KH43" s="246"/>
      <c r="KI43" s="246"/>
      <c r="KJ43" s="246"/>
      <c r="KK43" s="245"/>
      <c r="KL43" s="1105"/>
      <c r="KM43" s="1105"/>
      <c r="KN43" s="245"/>
      <c r="KO43" s="245"/>
      <c r="KP43" s="245"/>
      <c r="KQ43" s="1105"/>
      <c r="KR43" s="1105"/>
      <c r="KS43" s="245"/>
      <c r="KT43" s="245"/>
      <c r="KU43" s="245"/>
      <c r="KV43" s="1105"/>
      <c r="KW43" s="1105"/>
      <c r="KX43" s="245"/>
      <c r="KY43" s="245"/>
      <c r="KZ43" s="245"/>
      <c r="LA43" s="1105"/>
      <c r="LB43" s="1105"/>
      <c r="LC43" s="245"/>
      <c r="LD43" s="245"/>
      <c r="LE43" s="245"/>
      <c r="LF43" s="245"/>
      <c r="LG43" s="245"/>
      <c r="LH43" s="1312"/>
      <c r="LI43" s="1312"/>
      <c r="LJ43" s="1224"/>
      <c r="LK43" s="245"/>
      <c r="LQ43" s="245"/>
      <c r="LR43" s="1233"/>
      <c r="LS43" s="1227"/>
      <c r="LT43" s="243"/>
      <c r="LU43" s="243"/>
      <c r="LV43" s="245"/>
      <c r="LW43" s="1233"/>
      <c r="LX43" s="1227"/>
      <c r="LY43" s="271"/>
      <c r="LZ43" s="271"/>
      <c r="MA43" s="1094"/>
      <c r="MB43" s="1094"/>
      <c r="MC43" s="1094"/>
      <c r="MD43" s="1094"/>
      <c r="ME43" s="1094"/>
      <c r="MF43" s="1094"/>
      <c r="MG43" s="1094"/>
      <c r="MH43" s="1094"/>
      <c r="MI43" s="1094"/>
      <c r="MJ43" s="1094"/>
      <c r="MK43" s="1094"/>
      <c r="ML43" s="1094"/>
      <c r="NY43" s="243"/>
      <c r="NZ43" s="243"/>
      <c r="OA43" s="243"/>
      <c r="OB43" s="243"/>
      <c r="OC43" s="243"/>
      <c r="OD43" s="243"/>
      <c r="OE43" s="243"/>
      <c r="OF43" s="243"/>
      <c r="OG43" s="243"/>
      <c r="OH43" s="243"/>
      <c r="OI43" s="243"/>
      <c r="OJ43" s="243"/>
      <c r="OK43" s="243"/>
      <c r="OL43" s="243"/>
      <c r="OM43" s="243"/>
      <c r="ON43" s="243"/>
      <c r="OO43" s="243"/>
      <c r="OP43" s="243"/>
      <c r="OQ43" s="243"/>
      <c r="OR43" s="243"/>
      <c r="OS43" s="243"/>
      <c r="OT43" s="243"/>
      <c r="OU43" s="243"/>
      <c r="OV43" s="243"/>
      <c r="OW43" s="243"/>
      <c r="OX43" s="243"/>
      <c r="OY43" s="243"/>
      <c r="OZ43" s="243"/>
      <c r="PA43" s="243"/>
      <c r="PB43" s="243"/>
      <c r="PC43" s="243"/>
      <c r="PD43" s="243"/>
      <c r="PE43" s="243"/>
      <c r="PF43" s="243"/>
      <c r="PG43" s="243"/>
      <c r="PH43" s="243"/>
      <c r="PI43" s="243"/>
      <c r="PJ43" s="243"/>
      <c r="PK43" s="243"/>
      <c r="PL43" s="243"/>
      <c r="PM43" s="243"/>
      <c r="PN43" s="243"/>
      <c r="PO43" s="271"/>
      <c r="PP43" s="271"/>
      <c r="PQ43" s="271"/>
      <c r="PR43" s="271"/>
      <c r="PS43" s="271"/>
      <c r="PT43" s="271"/>
      <c r="PU43" s="243"/>
      <c r="PV43" s="243"/>
      <c r="PW43" s="243"/>
      <c r="PX43" s="243"/>
      <c r="PY43" s="243"/>
      <c r="PZ43" s="243"/>
      <c r="QA43" s="243"/>
      <c r="QB43" s="243"/>
      <c r="QC43" s="243"/>
      <c r="QD43" s="243"/>
      <c r="QE43" s="243"/>
      <c r="QF43" s="243"/>
      <c r="QG43" s="243"/>
      <c r="QH43" s="243"/>
      <c r="QI43" s="243"/>
      <c r="QJ43" s="243"/>
      <c r="QK43" s="243"/>
      <c r="QL43" s="243"/>
      <c r="QM43" s="243"/>
      <c r="QN43" s="243"/>
      <c r="QO43" s="243"/>
      <c r="QP43" s="243"/>
      <c r="QQ43" s="243"/>
      <c r="QR43" s="243"/>
      <c r="QS43" s="224"/>
      <c r="QT43" s="224"/>
      <c r="QU43" s="224"/>
      <c r="QV43" s="224"/>
      <c r="QW43" s="224"/>
      <c r="QX43" s="224"/>
      <c r="QY43" s="224"/>
      <c r="QZ43" s="224"/>
      <c r="RA43" s="231"/>
      <c r="RD43" s="225"/>
      <c r="RF43" s="225"/>
      <c r="RG43" s="245"/>
      <c r="RH43" s="245"/>
      <c r="RI43" s="245"/>
      <c r="RJ43" s="245"/>
      <c r="RK43" s="245"/>
      <c r="RL43" s="245"/>
      <c r="RM43" s="224"/>
      <c r="RN43" s="244"/>
      <c r="RO43" s="224"/>
      <c r="RP43" s="224"/>
      <c r="RQ43" s="244"/>
      <c r="RR43" s="244"/>
      <c r="RS43" s="224"/>
      <c r="RT43" s="224"/>
      <c r="RU43" s="224"/>
      <c r="RV43" s="224"/>
      <c r="RW43" s="224"/>
      <c r="RX43" s="224"/>
      <c r="RY43" s="224"/>
      <c r="RZ43" s="224"/>
      <c r="SA43" s="224"/>
      <c r="SB43" s="224"/>
      <c r="SC43" s="224"/>
      <c r="SD43" s="224"/>
      <c r="SE43" s="224"/>
      <c r="SF43" s="224"/>
      <c r="SG43" s="224"/>
      <c r="SH43" s="224"/>
      <c r="SI43" s="246"/>
      <c r="SJ43" s="246"/>
      <c r="SK43" s="246"/>
      <c r="SL43" s="246"/>
      <c r="SM43" s="246"/>
      <c r="SN43" s="246"/>
      <c r="SO43" s="246"/>
      <c r="SP43" s="246"/>
      <c r="SQ43" s="246"/>
      <c r="SR43" s="246"/>
      <c r="SS43" s="246"/>
      <c r="ST43" s="246"/>
      <c r="SU43" s="246"/>
      <c r="SV43" s="246"/>
      <c r="SW43" s="246"/>
      <c r="SX43" s="246"/>
      <c r="SY43" s="246"/>
      <c r="SZ43" s="246"/>
      <c r="TA43" s="246"/>
      <c r="TB43" s="246"/>
      <c r="TC43" s="246"/>
      <c r="TD43" s="246"/>
      <c r="TE43" s="246"/>
      <c r="TF43" s="246"/>
      <c r="TG43" s="246"/>
      <c r="TH43" s="246"/>
      <c r="TI43" s="246"/>
      <c r="TJ43" s="246"/>
      <c r="TK43" s="246"/>
      <c r="TL43" s="246"/>
      <c r="TM43" s="246"/>
      <c r="TN43" s="246"/>
      <c r="TO43" s="246"/>
      <c r="TP43" s="246"/>
      <c r="TQ43" s="246"/>
      <c r="TR43" s="246"/>
      <c r="TS43" s="246"/>
      <c r="TT43" s="246"/>
      <c r="TU43" s="246"/>
      <c r="TV43" s="246"/>
      <c r="TW43" s="246"/>
      <c r="TX43" s="246"/>
      <c r="TY43" s="246"/>
      <c r="TZ43" s="246"/>
      <c r="UA43" s="246"/>
      <c r="UB43" s="246"/>
      <c r="UC43" s="246"/>
      <c r="UD43" s="246"/>
      <c r="UE43" s="246"/>
      <c r="UF43" s="246"/>
      <c r="UG43" s="246"/>
      <c r="UH43" s="246"/>
      <c r="UI43" s="246"/>
      <c r="UJ43" s="246"/>
      <c r="UK43" s="246"/>
      <c r="UL43" s="246"/>
      <c r="UM43" s="246"/>
      <c r="UN43" s="246"/>
      <c r="UO43" s="246"/>
      <c r="UP43" s="246"/>
      <c r="UQ43" s="246"/>
      <c r="UR43" s="246"/>
      <c r="US43" s="246"/>
      <c r="UT43" s="246"/>
      <c r="UU43" s="246"/>
      <c r="UV43" s="246"/>
      <c r="UW43" s="246"/>
      <c r="UX43" s="246"/>
      <c r="UY43" s="246"/>
      <c r="UZ43" s="246"/>
      <c r="VA43" s="246"/>
      <c r="VB43" s="246"/>
      <c r="VC43" s="246"/>
      <c r="VD43" s="246"/>
      <c r="VE43" s="246"/>
      <c r="VF43" s="246"/>
      <c r="VG43" s="246"/>
      <c r="VH43" s="246"/>
      <c r="VI43" s="246"/>
      <c r="VJ43" s="246"/>
      <c r="VK43" s="246"/>
      <c r="VL43" s="246"/>
      <c r="VM43" s="246"/>
      <c r="VN43" s="246"/>
      <c r="VO43" s="246"/>
      <c r="VP43" s="246"/>
      <c r="VQ43" s="246"/>
      <c r="VR43" s="246"/>
      <c r="VS43" s="246"/>
      <c r="VT43" s="246"/>
      <c r="VU43" s="231"/>
      <c r="VV43" s="231"/>
      <c r="VW43" s="366"/>
      <c r="VX43" s="366"/>
      <c r="WE43" s="366"/>
      <c r="WF43" s="366"/>
    </row>
    <row r="44" spans="1:612" s="220" customFormat="1" ht="18.75" customHeight="1" thickBot="1" x14ac:dyDescent="0.35">
      <c r="A44" s="1007" t="s">
        <v>126</v>
      </c>
      <c r="B44" s="1010">
        <f>D44+AI44+'План и исполнение'!RA44+'План и исполнение'!SG44</f>
        <v>10622687493.700001</v>
      </c>
      <c r="C44" s="1010">
        <f>E44+'План и исполнение'!RD44+AJ44+'План и исполнение'!SH44</f>
        <v>4498961135.7400007</v>
      </c>
      <c r="D44" s="1012">
        <f>D34</f>
        <v>713748126</v>
      </c>
      <c r="E44" s="1012">
        <f>E34</f>
        <v>407725680</v>
      </c>
      <c r="H44" s="490"/>
      <c r="AH44" s="1300" t="s">
        <v>126</v>
      </c>
      <c r="AI44" s="1012">
        <f>AI34</f>
        <v>3272963952.2599998</v>
      </c>
      <c r="AJ44" s="1012">
        <f>AJ34</f>
        <v>856654897.81000018</v>
      </c>
      <c r="AK44" s="239"/>
      <c r="AL44" s="239"/>
      <c r="AM44" s="239"/>
      <c r="AN44" s="239"/>
      <c r="AO44" s="239"/>
      <c r="AP44" s="239"/>
      <c r="AQ44" s="239"/>
      <c r="AR44" s="239"/>
      <c r="AS44" s="239"/>
      <c r="AT44" s="239"/>
      <c r="AU44" s="239"/>
      <c r="AV44" s="239"/>
      <c r="AW44" s="239"/>
      <c r="AX44" s="239"/>
      <c r="AY44" s="239"/>
      <c r="AZ44" s="239"/>
      <c r="BA44" s="239"/>
      <c r="BB44" s="239"/>
      <c r="BC44" s="239"/>
      <c r="BD44" s="239"/>
      <c r="BE44" s="239"/>
      <c r="BF44" s="239"/>
      <c r="BG44" s="239"/>
      <c r="BH44" s="239"/>
      <c r="BI44" s="239"/>
      <c r="BJ44" s="239"/>
      <c r="BK44" s="239"/>
      <c r="BL44" s="239"/>
      <c r="BM44" s="239"/>
      <c r="BN44" s="239"/>
      <c r="BO44" s="239"/>
      <c r="BP44" s="239"/>
      <c r="BQ44" s="239"/>
      <c r="BR44" s="239"/>
      <c r="BS44" s="239"/>
      <c r="BT44" s="239"/>
      <c r="BU44" s="239"/>
      <c r="BV44" s="245"/>
      <c r="BW44" s="239"/>
      <c r="BX44" s="239"/>
      <c r="BY44" s="239"/>
      <c r="BZ44" s="245"/>
      <c r="CA44" s="239"/>
      <c r="CB44" s="239"/>
      <c r="CC44" s="239"/>
      <c r="CD44" s="245"/>
      <c r="CE44" s="239"/>
      <c r="CF44" s="239"/>
      <c r="CG44" s="239"/>
      <c r="CH44" s="245"/>
      <c r="CI44" s="239"/>
      <c r="CJ44" s="239"/>
      <c r="CK44" s="239"/>
      <c r="CL44" s="239"/>
      <c r="CM44" s="239"/>
      <c r="CN44" s="239"/>
      <c r="CO44" s="239"/>
      <c r="CP44" s="239"/>
      <c r="DG44" s="1259"/>
      <c r="DH44" s="1259"/>
      <c r="DI44" s="1259"/>
      <c r="DJ44" s="1259"/>
      <c r="DK44" s="1259"/>
      <c r="DL44" s="1259"/>
      <c r="EI44" s="239"/>
      <c r="EJ44" s="239"/>
      <c r="EK44" s="239"/>
      <c r="EL44" s="239"/>
      <c r="EM44" s="239"/>
      <c r="EN44" s="239"/>
      <c r="EO44" s="239"/>
      <c r="EP44" s="239"/>
      <c r="EQ44" s="239"/>
      <c r="ER44" s="239"/>
      <c r="ES44" s="239"/>
      <c r="ET44" s="239"/>
      <c r="EU44" s="239"/>
      <c r="EV44" s="239"/>
      <c r="EW44" s="239"/>
      <c r="EX44" s="239"/>
      <c r="EY44" s="239"/>
      <c r="EZ44" s="239"/>
      <c r="FA44" s="239"/>
      <c r="FB44" s="239"/>
      <c r="FC44" s="239"/>
      <c r="FD44" s="239"/>
      <c r="FK44" s="1136"/>
      <c r="FL44" s="1136"/>
      <c r="FM44" s="1136"/>
      <c r="FN44" s="1136"/>
      <c r="FO44" s="1136"/>
      <c r="FP44" s="1136"/>
      <c r="FQ44" s="1298"/>
      <c r="FR44" s="1298"/>
      <c r="FS44" s="1298"/>
      <c r="FT44" s="1298"/>
      <c r="FU44" s="1298"/>
      <c r="FV44" s="1298"/>
      <c r="FW44" s="1298"/>
      <c r="FX44" s="1298"/>
      <c r="FY44" s="1298"/>
      <c r="FZ44" s="1298"/>
      <c r="GA44" s="1392"/>
      <c r="GB44" s="1392"/>
      <c r="GC44" s="1392"/>
      <c r="GD44" s="1392"/>
      <c r="GE44" s="1392"/>
      <c r="GF44" s="1392"/>
      <c r="GG44" s="1244"/>
      <c r="GH44" s="1371"/>
      <c r="GI44" s="1371"/>
      <c r="GJ44" s="1244"/>
      <c r="GK44" s="1244"/>
      <c r="GL44" s="1244"/>
      <c r="GM44" s="1371"/>
      <c r="GN44" s="1371"/>
      <c r="GO44" s="1244"/>
      <c r="GP44" s="1244"/>
      <c r="GQ44" s="1244"/>
      <c r="GR44" s="1371"/>
      <c r="GS44" s="1371"/>
      <c r="GT44" s="1244"/>
      <c r="GU44" s="1244"/>
      <c r="GV44" s="1244"/>
      <c r="GW44" s="1371"/>
      <c r="GX44" s="1371"/>
      <c r="GY44" s="1244"/>
      <c r="GZ44" s="1244"/>
      <c r="HA44" s="1244"/>
      <c r="HB44" s="1371"/>
      <c r="HC44" s="1371"/>
      <c r="HD44" s="1244"/>
      <c r="HE44" s="1244"/>
      <c r="HF44" s="1244"/>
      <c r="HG44" s="1371"/>
      <c r="HH44" s="1371"/>
      <c r="HI44" s="1244"/>
      <c r="HJ44" s="1244"/>
      <c r="HK44" s="1244"/>
      <c r="HL44" s="1371"/>
      <c r="HM44" s="1371"/>
      <c r="HN44" s="1244"/>
      <c r="HO44" s="1244"/>
      <c r="HP44" s="1244"/>
      <c r="HQ44" s="1371"/>
      <c r="HR44" s="1371"/>
      <c r="HS44" s="1244"/>
      <c r="HT44" s="1244"/>
      <c r="HU44" s="1478"/>
      <c r="HV44" s="1478"/>
      <c r="HW44" s="1478"/>
      <c r="HX44" s="1478"/>
      <c r="HY44" s="1478"/>
      <c r="HZ44" s="1478"/>
      <c r="IA44" s="1590"/>
      <c r="IB44" s="1590"/>
      <c r="IC44" s="1590"/>
      <c r="ID44" s="1590"/>
      <c r="IE44" s="1590"/>
      <c r="IF44" s="1590"/>
      <c r="IM44" s="239"/>
      <c r="IN44" s="239"/>
      <c r="IO44" s="239"/>
      <c r="IP44" s="239"/>
      <c r="IQ44" s="239"/>
      <c r="IR44" s="239"/>
      <c r="IS44" s="239"/>
      <c r="IT44" s="239"/>
      <c r="IU44" s="239"/>
      <c r="IV44" s="239"/>
      <c r="IW44" s="239"/>
      <c r="IX44" s="239"/>
      <c r="JK44" s="1222"/>
      <c r="JL44" s="1222"/>
      <c r="JM44" s="1222"/>
      <c r="JN44" s="1222"/>
      <c r="JO44" s="1222"/>
      <c r="JP44" s="1222"/>
      <c r="JQ44" s="246"/>
      <c r="JR44" s="246"/>
      <c r="JS44" s="246"/>
      <c r="JT44" s="246"/>
      <c r="JU44" s="246"/>
      <c r="JV44" s="246"/>
      <c r="JW44" s="246"/>
      <c r="JX44" s="246"/>
      <c r="JY44" s="246"/>
      <c r="JZ44" s="246"/>
      <c r="KA44" s="246"/>
      <c r="KB44" s="246"/>
      <c r="KC44" s="246"/>
      <c r="KD44" s="246"/>
      <c r="KE44" s="246"/>
      <c r="KF44" s="246"/>
      <c r="KG44" s="246"/>
      <c r="KH44" s="246"/>
      <c r="KI44" s="246"/>
      <c r="KJ44" s="246"/>
      <c r="KK44" s="245"/>
      <c r="KL44" s="1105"/>
      <c r="KM44" s="1105"/>
      <c r="KN44" s="245"/>
      <c r="KO44" s="245"/>
      <c r="KP44" s="245"/>
      <c r="KQ44" s="1105"/>
      <c r="KR44" s="1105"/>
      <c r="KS44" s="245"/>
      <c r="KT44" s="245"/>
      <c r="KU44" s="245"/>
      <c r="KV44" s="1105"/>
      <c r="KW44" s="1105"/>
      <c r="KX44" s="245"/>
      <c r="KY44" s="245"/>
      <c r="KZ44" s="245"/>
      <c r="LA44" s="1105"/>
      <c r="LB44" s="1105"/>
      <c r="LC44" s="245"/>
      <c r="LD44" s="245"/>
      <c r="LE44" s="245"/>
      <c r="LF44" s="245"/>
      <c r="LG44" s="245"/>
      <c r="LH44" s="1312"/>
      <c r="LI44" s="1312"/>
      <c r="LJ44" s="1224"/>
      <c r="LK44" s="245"/>
      <c r="LL44" s="245"/>
      <c r="LM44" s="398"/>
      <c r="LN44" s="398"/>
      <c r="LO44" s="398"/>
      <c r="LP44" s="398"/>
      <c r="LQ44" s="245"/>
      <c r="LR44" s="1233"/>
      <c r="LS44" s="1227"/>
      <c r="LT44" s="239"/>
      <c r="LU44" s="239"/>
      <c r="LV44" s="245"/>
      <c r="LW44" s="1233"/>
      <c r="LX44" s="1227"/>
      <c r="LY44" s="239"/>
      <c r="LZ44" s="239"/>
      <c r="MA44" s="1094"/>
      <c r="MB44" s="1094"/>
      <c r="MC44" s="1094"/>
      <c r="MD44" s="1094"/>
      <c r="ME44" s="1094"/>
      <c r="MF44" s="1094"/>
      <c r="MG44" s="1094"/>
      <c r="MH44" s="1094"/>
      <c r="MI44" s="1094"/>
      <c r="MJ44" s="1094"/>
      <c r="MK44" s="1094"/>
      <c r="ML44" s="1094"/>
      <c r="MP44" s="1235"/>
      <c r="MT44" s="1235"/>
      <c r="MX44" s="1235"/>
      <c r="NB44" s="1235"/>
      <c r="NF44" s="1235"/>
      <c r="NJ44" s="1235"/>
      <c r="NN44" s="1235"/>
      <c r="NR44" s="1235"/>
      <c r="NS44" s="1626"/>
      <c r="NT44" s="1626"/>
      <c r="NU44" s="1626"/>
      <c r="NV44" s="1626"/>
      <c r="NW44" s="1626"/>
      <c r="NX44" s="1626"/>
      <c r="NY44" s="239"/>
      <c r="NZ44" s="239"/>
      <c r="OA44" s="239"/>
      <c r="OB44" s="239"/>
      <c r="OC44" s="239"/>
      <c r="OD44" s="239"/>
      <c r="OE44" s="239"/>
      <c r="OF44" s="239"/>
      <c r="OG44" s="239"/>
      <c r="OH44" s="239"/>
      <c r="OI44" s="239"/>
      <c r="OJ44" s="239"/>
      <c r="OK44" s="239"/>
      <c r="OL44" s="239"/>
      <c r="OM44" s="239"/>
      <c r="ON44" s="239"/>
      <c r="OO44" s="239"/>
      <c r="OP44" s="239"/>
      <c r="OQ44" s="239"/>
      <c r="OR44" s="239"/>
      <c r="OS44" s="239"/>
      <c r="OT44" s="239"/>
      <c r="OU44" s="239"/>
      <c r="OV44" s="239"/>
      <c r="OW44" s="239"/>
      <c r="OX44" s="239"/>
      <c r="OY44" s="239"/>
      <c r="OZ44" s="239"/>
      <c r="PA44" s="239"/>
      <c r="PB44" s="239"/>
      <c r="PC44" s="239"/>
      <c r="PD44" s="239"/>
      <c r="PE44" s="239"/>
      <c r="PF44" s="239"/>
      <c r="PG44" s="239"/>
      <c r="PH44" s="239"/>
      <c r="PI44" s="239"/>
      <c r="PJ44" s="239"/>
      <c r="PK44" s="239"/>
      <c r="PL44" s="239"/>
      <c r="PM44" s="239"/>
      <c r="PN44" s="239"/>
      <c r="PO44" s="1146"/>
      <c r="PP44" s="1146"/>
      <c r="PQ44" s="1146"/>
      <c r="PR44" s="1146"/>
      <c r="PS44" s="1146"/>
      <c r="PT44" s="1146"/>
      <c r="PU44" s="239"/>
      <c r="PV44" s="239"/>
      <c r="PW44" s="239"/>
      <c r="PX44" s="239"/>
      <c r="PY44" s="239"/>
      <c r="PZ44" s="239"/>
      <c r="QA44" s="239"/>
      <c r="QB44" s="239"/>
      <c r="QC44" s="239"/>
      <c r="QD44" s="239"/>
      <c r="QE44" s="239"/>
      <c r="QF44" s="239"/>
      <c r="QG44" s="239"/>
      <c r="QH44" s="239"/>
      <c r="QI44" s="239"/>
      <c r="QJ44" s="239"/>
      <c r="QK44" s="239"/>
      <c r="QL44" s="239"/>
      <c r="QM44" s="239"/>
      <c r="QN44" s="239"/>
      <c r="QO44" s="239"/>
      <c r="QP44" s="239"/>
      <c r="QQ44" s="239"/>
      <c r="QR44" s="239"/>
      <c r="QZ44" s="1468" t="s">
        <v>126</v>
      </c>
      <c r="RA44" s="1012">
        <f>RA34</f>
        <v>5346723084</v>
      </c>
      <c r="RB44" s="1248"/>
      <c r="RC44" s="1248"/>
      <c r="RD44" s="1012">
        <f>RD34</f>
        <v>3056955472.8500004</v>
      </c>
      <c r="RW44" s="1235"/>
      <c r="RX44" s="1235"/>
      <c r="SA44" s="1643"/>
      <c r="SC44" s="1468" t="s">
        <v>126</v>
      </c>
      <c r="SE44" s="1643"/>
      <c r="SG44" s="1012">
        <f>SG34</f>
        <v>1289252331.4400001</v>
      </c>
      <c r="SH44" s="1012">
        <f>SH34</f>
        <v>177625085.08000001</v>
      </c>
      <c r="SI44" s="258"/>
      <c r="SJ44" s="258"/>
      <c r="SK44" s="258"/>
      <c r="SL44" s="258"/>
      <c r="SM44" s="258"/>
      <c r="SN44" s="258"/>
      <c r="SO44" s="258"/>
      <c r="SP44" s="258"/>
      <c r="SQ44" s="258"/>
      <c r="SR44" s="258"/>
      <c r="SS44" s="258"/>
      <c r="ST44" s="258"/>
      <c r="SU44" s="258"/>
      <c r="SV44" s="258"/>
      <c r="SW44" s="258"/>
      <c r="SX44" s="258"/>
      <c r="SY44" s="258"/>
      <c r="SZ44" s="258"/>
      <c r="TA44" s="258"/>
      <c r="TB44" s="258"/>
      <c r="TC44" s="258"/>
      <c r="TD44" s="258"/>
      <c r="TE44" s="258"/>
      <c r="TF44" s="258"/>
      <c r="TG44" s="258"/>
      <c r="TH44" s="258"/>
      <c r="TI44" s="258"/>
      <c r="TJ44" s="258"/>
      <c r="TK44" s="258"/>
      <c r="TL44" s="258"/>
      <c r="TM44" s="258"/>
      <c r="TN44" s="258"/>
      <c r="TO44" s="258"/>
      <c r="TP44" s="258"/>
      <c r="TQ44" s="258"/>
      <c r="TR44" s="258"/>
      <c r="TS44" s="258"/>
      <c r="TT44" s="258"/>
      <c r="TU44" s="258"/>
      <c r="TV44" s="258"/>
      <c r="TW44" s="258"/>
      <c r="TX44" s="258"/>
      <c r="TY44" s="258"/>
      <c r="TZ44" s="258"/>
      <c r="UA44" s="258"/>
      <c r="UB44" s="258"/>
      <c r="UC44" s="258"/>
      <c r="UD44" s="258"/>
      <c r="UE44" s="258"/>
      <c r="UF44" s="258"/>
      <c r="UG44" s="258"/>
      <c r="UH44" s="258"/>
      <c r="UI44" s="258"/>
      <c r="UJ44" s="258"/>
      <c r="UK44" s="258"/>
      <c r="UL44" s="258"/>
      <c r="UM44" s="258"/>
      <c r="UN44" s="258"/>
      <c r="UO44" s="258"/>
      <c r="UP44" s="258"/>
      <c r="UQ44" s="258"/>
      <c r="UR44" s="258"/>
      <c r="US44" s="258"/>
      <c r="UT44" s="258"/>
      <c r="UU44" s="258"/>
      <c r="UV44" s="258"/>
      <c r="UW44" s="258"/>
      <c r="UX44" s="258"/>
      <c r="UY44" s="258"/>
      <c r="UZ44" s="258"/>
      <c r="VA44" s="246"/>
      <c r="VB44" s="246"/>
      <c r="VC44" s="246"/>
      <c r="VD44" s="246"/>
      <c r="VE44" s="246"/>
      <c r="VF44" s="246"/>
      <c r="VG44" s="246"/>
      <c r="VH44" s="246"/>
      <c r="VI44" s="246"/>
      <c r="VJ44" s="246"/>
      <c r="VK44" s="246"/>
      <c r="VL44" s="246"/>
      <c r="VM44" s="246"/>
      <c r="VN44" s="246"/>
      <c r="VO44" s="246"/>
      <c r="VP44" s="246"/>
      <c r="VQ44" s="246"/>
      <c r="VR44" s="246"/>
      <c r="VS44" s="246"/>
      <c r="VT44" s="246"/>
      <c r="VU44" s="231"/>
      <c r="VV44" s="231"/>
      <c r="VW44" s="366"/>
      <c r="VX44" s="366"/>
      <c r="VY44" s="223"/>
      <c r="VZ44" s="223"/>
      <c r="WA44" s="223"/>
      <c r="WB44" s="223"/>
      <c r="WC44" s="223"/>
      <c r="WD44" s="223"/>
      <c r="WE44" s="223"/>
      <c r="WF44" s="223"/>
      <c r="WG44" s="223"/>
      <c r="WH44" s="223"/>
      <c r="WI44" s="223"/>
      <c r="WJ44" s="223"/>
      <c r="WK44" s="223"/>
      <c r="WL44" s="223"/>
      <c r="WM44" s="223"/>
      <c r="WN44" s="223"/>
    </row>
    <row r="45" spans="1:612" ht="19.5" customHeight="1" thickBot="1" x14ac:dyDescent="0.35">
      <c r="A45" s="1007" t="s">
        <v>125</v>
      </c>
      <c r="B45" s="1010">
        <f>D45+AI45+'План и исполнение'!RA45+'План и исполнение'!SG45</f>
        <v>9202001496.7600002</v>
      </c>
      <c r="C45" s="1010">
        <f>E45+'План и исполнение'!RD45+AJ45+'План и исполнение'!SH45</f>
        <v>4957630970.0500011</v>
      </c>
      <c r="D45" s="1011">
        <f>D30-D46</f>
        <v>1235846380</v>
      </c>
      <c r="E45" s="1011">
        <f>E30-E46</f>
        <v>799458604.00000012</v>
      </c>
      <c r="V45" s="220"/>
      <c r="AA45" s="220"/>
      <c r="AC45" s="220"/>
      <c r="AD45" s="220"/>
      <c r="AE45" s="220"/>
      <c r="AF45" s="220"/>
      <c r="AG45" s="220"/>
      <c r="AH45" s="1300" t="s">
        <v>125</v>
      </c>
      <c r="AI45" s="1011">
        <f>AI30-AI46</f>
        <v>2073897746.7600002</v>
      </c>
      <c r="AJ45" s="1011">
        <f>AJ30-AJ46</f>
        <v>586839481.1500001</v>
      </c>
      <c r="AK45" s="225"/>
      <c r="AL45" s="225"/>
      <c r="AM45" s="225"/>
      <c r="AN45" s="225"/>
      <c r="AO45" s="225"/>
      <c r="AP45" s="225"/>
      <c r="AQ45" s="225"/>
      <c r="AR45" s="225"/>
      <c r="AS45" s="225"/>
      <c r="AT45" s="225"/>
      <c r="AU45" s="225"/>
      <c r="AV45" s="225"/>
      <c r="AW45" s="225"/>
      <c r="AX45" s="225"/>
      <c r="AY45" s="225"/>
      <c r="AZ45" s="225"/>
      <c r="BA45" s="225"/>
      <c r="BB45" s="225"/>
      <c r="BC45" s="225"/>
      <c r="BD45" s="225"/>
      <c r="BE45" s="225"/>
      <c r="BF45" s="225"/>
      <c r="BG45" s="225"/>
      <c r="BH45" s="225"/>
      <c r="BI45" s="225"/>
      <c r="BJ45" s="225"/>
      <c r="BK45" s="225"/>
      <c r="BL45" s="225"/>
      <c r="BM45" s="225"/>
      <c r="BN45" s="225"/>
      <c r="BO45" s="225"/>
      <c r="BP45" s="225"/>
      <c r="BQ45" s="225"/>
      <c r="BR45" s="225"/>
      <c r="BS45" s="225"/>
      <c r="BT45" s="225"/>
      <c r="BU45" s="225"/>
      <c r="BV45" s="245"/>
      <c r="BW45" s="225"/>
      <c r="BX45" s="225"/>
      <c r="BY45" s="225"/>
      <c r="BZ45" s="245"/>
      <c r="CA45" s="225"/>
      <c r="CB45" s="225"/>
      <c r="CC45" s="225"/>
      <c r="CD45" s="245"/>
      <c r="CE45" s="225"/>
      <c r="CF45" s="225"/>
      <c r="CG45" s="225"/>
      <c r="CH45" s="245"/>
      <c r="CI45" s="225"/>
      <c r="CJ45" s="225"/>
      <c r="CK45" s="225"/>
      <c r="CL45" s="225"/>
      <c r="CM45" s="225"/>
      <c r="CN45" s="225"/>
      <c r="CO45" s="225"/>
      <c r="CP45" s="225"/>
      <c r="EI45" s="225"/>
      <c r="EJ45" s="225"/>
      <c r="EK45" s="225"/>
      <c r="EL45" s="225"/>
      <c r="EM45" s="225"/>
      <c r="EN45" s="225"/>
      <c r="EO45" s="225"/>
      <c r="EP45" s="225"/>
      <c r="EQ45" s="225"/>
      <c r="ER45" s="225"/>
      <c r="ES45" s="225"/>
      <c r="ET45" s="225"/>
      <c r="EU45" s="225"/>
      <c r="EV45" s="225"/>
      <c r="EW45" s="225"/>
      <c r="EX45" s="225"/>
      <c r="EY45" s="225"/>
      <c r="EZ45" s="225"/>
      <c r="FA45" s="225"/>
      <c r="FB45" s="225"/>
      <c r="FC45" s="225"/>
      <c r="FD45" s="225"/>
      <c r="IM45" s="225"/>
      <c r="IN45" s="225"/>
      <c r="IO45" s="225"/>
      <c r="IP45" s="225"/>
      <c r="IQ45" s="225"/>
      <c r="IR45" s="1654"/>
      <c r="IS45" s="225"/>
      <c r="IT45" s="225"/>
      <c r="IU45" s="225"/>
      <c r="IV45" s="225"/>
      <c r="IW45" s="225"/>
      <c r="IX45" s="225"/>
      <c r="JQ45" s="246"/>
      <c r="JR45" s="246"/>
      <c r="JS45" s="246"/>
      <c r="JT45" s="246"/>
      <c r="JU45" s="246"/>
      <c r="JV45" s="246"/>
      <c r="JW45" s="246"/>
      <c r="JX45" s="246"/>
      <c r="JY45" s="246"/>
      <c r="JZ45" s="246"/>
      <c r="KA45" s="246"/>
      <c r="KB45" s="246"/>
      <c r="KC45" s="246"/>
      <c r="KD45" s="246"/>
      <c r="KE45" s="246"/>
      <c r="KF45" s="246"/>
      <c r="KG45" s="246"/>
      <c r="KH45" s="246"/>
      <c r="KI45" s="246"/>
      <c r="KJ45" s="246"/>
      <c r="KK45" s="245"/>
      <c r="KL45" s="1105"/>
      <c r="KM45" s="1105"/>
      <c r="KN45" s="245"/>
      <c r="KO45" s="245"/>
      <c r="KP45" s="245"/>
      <c r="KQ45" s="1105"/>
      <c r="KR45" s="1105"/>
      <c r="KS45" s="245"/>
      <c r="KT45" s="245"/>
      <c r="KU45" s="245"/>
      <c r="KV45" s="1105"/>
      <c r="KW45" s="1105"/>
      <c r="KX45" s="245"/>
      <c r="KY45" s="245"/>
      <c r="KZ45" s="245"/>
      <c r="LA45" s="1105"/>
      <c r="LB45" s="1105"/>
      <c r="LC45" s="245"/>
      <c r="LD45" s="245"/>
      <c r="LE45" s="245"/>
      <c r="LF45" s="245"/>
      <c r="LG45" s="245"/>
      <c r="LH45" s="1312"/>
      <c r="LI45" s="1312"/>
      <c r="LJ45" s="1224"/>
      <c r="LK45" s="245"/>
      <c r="LL45" s="245"/>
      <c r="LM45" s="398"/>
      <c r="LN45" s="398"/>
      <c r="LO45" s="398"/>
      <c r="LP45" s="398"/>
      <c r="LQ45" s="245"/>
      <c r="LR45" s="1233"/>
      <c r="LS45" s="1227"/>
      <c r="LT45" s="225"/>
      <c r="LU45" s="225"/>
      <c r="LV45" s="245"/>
      <c r="LW45" s="1233"/>
      <c r="LX45" s="1227"/>
      <c r="LY45" s="225"/>
      <c r="LZ45" s="225"/>
      <c r="MA45" s="1094"/>
      <c r="MB45" s="1094"/>
      <c r="MC45" s="1094"/>
      <c r="MD45" s="1094"/>
      <c r="ME45" s="1094"/>
      <c r="MF45" s="1094"/>
      <c r="MG45" s="1094"/>
      <c r="MH45" s="1094"/>
      <c r="MI45" s="1094"/>
      <c r="MJ45" s="1094"/>
      <c r="MK45" s="1094"/>
      <c r="ML45" s="1094"/>
      <c r="NY45" s="225"/>
      <c r="NZ45" s="225"/>
      <c r="OA45" s="225"/>
      <c r="OB45" s="225"/>
      <c r="OC45" s="225"/>
      <c r="OD45" s="225"/>
      <c r="OE45" s="225"/>
      <c r="OF45" s="225"/>
      <c r="OG45" s="225"/>
      <c r="OH45" s="225"/>
      <c r="OI45" s="225"/>
      <c r="OJ45" s="225"/>
      <c r="OK45" s="225"/>
      <c r="OL45" s="225"/>
      <c r="OM45" s="225"/>
      <c r="ON45" s="225"/>
      <c r="OO45" s="225"/>
      <c r="OP45" s="225"/>
      <c r="OQ45" s="225"/>
      <c r="OR45" s="225"/>
      <c r="OS45" s="225"/>
      <c r="OT45" s="225"/>
      <c r="OU45" s="225"/>
      <c r="OV45" s="225"/>
      <c r="OW45" s="225"/>
      <c r="OX45" s="225"/>
      <c r="OY45" s="225"/>
      <c r="OZ45" s="225"/>
      <c r="PA45" s="225"/>
      <c r="PB45" s="225"/>
      <c r="PC45" s="225"/>
      <c r="PD45" s="225"/>
      <c r="PE45" s="225"/>
      <c r="PF45" s="225"/>
      <c r="PG45" s="225"/>
      <c r="PH45" s="225"/>
      <c r="PI45" s="225"/>
      <c r="PJ45" s="225"/>
      <c r="PK45" s="225"/>
      <c r="PL45" s="225"/>
      <c r="PM45" s="225"/>
      <c r="PN45" s="225"/>
      <c r="PU45" s="225"/>
      <c r="PV45" s="225"/>
      <c r="PW45" s="225"/>
      <c r="PX45" s="225"/>
      <c r="PY45" s="225"/>
      <c r="PZ45" s="225"/>
      <c r="QA45" s="225"/>
      <c r="QB45" s="225"/>
      <c r="QC45" s="225"/>
      <c r="QD45" s="225"/>
      <c r="QE45" s="225"/>
      <c r="QF45" s="225"/>
      <c r="QG45" s="225"/>
      <c r="QH45" s="225"/>
      <c r="QI45" s="225"/>
      <c r="QJ45" s="225"/>
      <c r="QK45" s="225"/>
      <c r="QL45" s="225"/>
      <c r="QM45" s="225"/>
      <c r="QN45" s="225"/>
      <c r="QO45" s="225"/>
      <c r="QP45" s="225"/>
      <c r="QQ45" s="225"/>
      <c r="QR45" s="225"/>
      <c r="QW45" s="220"/>
      <c r="QX45" s="220"/>
      <c r="QY45" s="220"/>
      <c r="QZ45" s="1468" t="s">
        <v>125</v>
      </c>
      <c r="RA45" s="1011">
        <f>RA30-RA46</f>
        <v>5892257370</v>
      </c>
      <c r="RB45" s="1261"/>
      <c r="RC45" s="1261"/>
      <c r="RD45" s="1011">
        <f>RD30-RD46</f>
        <v>3571332884.9000001</v>
      </c>
      <c r="RQ45" s="247"/>
      <c r="RR45" s="247"/>
      <c r="RS45" s="247"/>
      <c r="RT45" s="247"/>
      <c r="RU45" s="247"/>
      <c r="RV45" s="247"/>
      <c r="RW45" s="247"/>
      <c r="RX45" s="247"/>
      <c r="SC45" s="1468" t="s">
        <v>125</v>
      </c>
      <c r="SG45" s="1262">
        <f>SG30-SG46</f>
        <v>0</v>
      </c>
      <c r="SH45" s="1262">
        <f>SH30-SH46</f>
        <v>0</v>
      </c>
      <c r="SI45" s="246"/>
      <c r="SJ45" s="246"/>
      <c r="SK45" s="246"/>
      <c r="SL45" s="246"/>
      <c r="SM45" s="246"/>
      <c r="SN45" s="246"/>
      <c r="SO45" s="246"/>
      <c r="SP45" s="246"/>
      <c r="SQ45" s="246"/>
      <c r="SR45" s="246"/>
      <c r="SS45" s="246"/>
      <c r="ST45" s="246"/>
      <c r="SU45" s="246"/>
      <c r="SV45" s="246"/>
      <c r="SW45" s="246"/>
      <c r="SX45" s="246"/>
      <c r="SY45" s="246"/>
      <c r="SZ45" s="246"/>
      <c r="TA45" s="246"/>
      <c r="TB45" s="246"/>
      <c r="TC45" s="246"/>
      <c r="TD45" s="246"/>
      <c r="TE45" s="246"/>
      <c r="TF45" s="246"/>
      <c r="TG45" s="246"/>
      <c r="TH45" s="246"/>
      <c r="TI45" s="246"/>
      <c r="TJ45" s="246"/>
      <c r="TK45" s="246"/>
      <c r="TL45" s="246"/>
      <c r="TM45" s="246"/>
      <c r="TN45" s="246"/>
      <c r="TO45" s="246"/>
      <c r="TP45" s="246"/>
      <c r="TQ45" s="246"/>
      <c r="TR45" s="246"/>
      <c r="TS45" s="246"/>
      <c r="TT45" s="246"/>
      <c r="TU45" s="246"/>
      <c r="TV45" s="246"/>
      <c r="TW45" s="246"/>
      <c r="TX45" s="246"/>
      <c r="TY45" s="246"/>
      <c r="TZ45" s="246"/>
      <c r="UA45" s="246"/>
      <c r="UB45" s="246"/>
      <c r="UC45" s="246"/>
      <c r="UD45" s="246"/>
      <c r="UE45" s="246"/>
      <c r="UF45" s="246"/>
      <c r="UG45" s="246"/>
      <c r="UH45" s="246"/>
      <c r="UI45" s="246"/>
      <c r="UJ45" s="246"/>
      <c r="UK45" s="246"/>
      <c r="UL45" s="246"/>
      <c r="UM45" s="246"/>
      <c r="UN45" s="246"/>
      <c r="UO45" s="246"/>
      <c r="UP45" s="246"/>
      <c r="UQ45" s="246"/>
      <c r="UR45" s="246"/>
      <c r="US45" s="246"/>
      <c r="UT45" s="246"/>
      <c r="UU45" s="246"/>
      <c r="UV45" s="246"/>
      <c r="UW45" s="246"/>
      <c r="UX45" s="246"/>
      <c r="UY45" s="246"/>
      <c r="UZ45" s="246"/>
      <c r="VA45" s="246"/>
      <c r="VB45" s="246"/>
      <c r="VC45" s="246"/>
      <c r="VD45" s="246"/>
      <c r="VE45" s="246"/>
      <c r="VF45" s="246"/>
      <c r="VG45" s="246"/>
      <c r="VH45" s="246"/>
      <c r="VI45" s="246"/>
      <c r="VJ45" s="246"/>
      <c r="VK45" s="246"/>
      <c r="VL45" s="246"/>
      <c r="VM45" s="246"/>
      <c r="VN45" s="246"/>
      <c r="VO45" s="246"/>
      <c r="VP45" s="246"/>
      <c r="VQ45" s="246"/>
      <c r="VR45" s="246"/>
      <c r="VS45" s="246"/>
      <c r="VT45" s="246"/>
      <c r="VU45" s="231"/>
      <c r="VV45" s="231"/>
      <c r="VW45" s="366"/>
      <c r="VX45" s="366"/>
      <c r="WE45" s="366"/>
      <c r="WF45" s="366"/>
    </row>
    <row r="46" spans="1:612" ht="18.75" customHeight="1" x14ac:dyDescent="0.3">
      <c r="A46" s="1007" t="s">
        <v>99</v>
      </c>
      <c r="B46" s="1010">
        <f>D46+AI46+'План и исполнение'!RA46+'План и исполнение'!SG46</f>
        <v>2279885219.1399999</v>
      </c>
      <c r="C46" s="1010">
        <f>E46+'План и исполнение'!RD46+AJ46+'План и исполнение'!SH46</f>
        <v>991205349.97000003</v>
      </c>
      <c r="D46" s="1011">
        <f>P30+AA30+H37</f>
        <v>1027352700</v>
      </c>
      <c r="E46" s="1011">
        <f>Q30+AB30+I37</f>
        <v>586251871.13</v>
      </c>
      <c r="V46" s="220"/>
      <c r="AA46" s="220"/>
      <c r="AC46" s="220"/>
      <c r="AD46" s="220"/>
      <c r="AE46" s="220"/>
      <c r="AF46" s="220"/>
      <c r="AG46" s="220"/>
      <c r="AH46" s="1300" t="s">
        <v>99</v>
      </c>
      <c r="AI46" s="1011">
        <f>'План и исполнение'!QU37+CS37+DA37+CA37+'План и исполнение'!MU37+'План и исполнение'!IS37+'План и исполнение'!KA37+'План и исполнение'!MA37+AU37+GQ37+FQ37+NY37+QA37</f>
        <v>1058229519.14</v>
      </c>
      <c r="AJ46" s="1011">
        <f>'План и исполнение'!QV37+CT37+DB37+CE37+'План и исполнение'!MY37+'План и исполнение'!IV37+'План и исполнение'!KF37+'План и исполнение'!ME37+AY37+GV37+FT37+OF37+QD37</f>
        <v>376636417.31</v>
      </c>
      <c r="AK46" s="225"/>
      <c r="AL46" s="225"/>
      <c r="AM46" s="225"/>
      <c r="AN46" s="225"/>
      <c r="AO46" s="225"/>
      <c r="AP46" s="225"/>
      <c r="AQ46" s="225"/>
      <c r="AR46" s="225"/>
      <c r="AS46" s="225"/>
      <c r="AT46" s="225"/>
      <c r="AU46" s="225"/>
      <c r="AV46" s="225"/>
      <c r="AW46" s="225"/>
      <c r="AX46" s="225"/>
      <c r="AY46" s="225"/>
      <c r="AZ46" s="225"/>
      <c r="BA46" s="225"/>
      <c r="BB46" s="225"/>
      <c r="BC46" s="225"/>
      <c r="BD46" s="225"/>
      <c r="BE46" s="225"/>
      <c r="BF46" s="225"/>
      <c r="BG46" s="225"/>
      <c r="BH46" s="225"/>
      <c r="BI46" s="225"/>
      <c r="BJ46" s="225"/>
      <c r="BK46" s="225"/>
      <c r="BL46" s="225"/>
      <c r="BM46" s="225"/>
      <c r="BN46" s="225"/>
      <c r="BO46" s="225"/>
      <c r="BP46" s="225"/>
      <c r="BQ46" s="225"/>
      <c r="BR46" s="225"/>
      <c r="BS46" s="225"/>
      <c r="BT46" s="225"/>
      <c r="BU46" s="225"/>
      <c r="BV46" s="245"/>
      <c r="BW46" s="225"/>
      <c r="BX46" s="225"/>
      <c r="BY46" s="225"/>
      <c r="BZ46" s="245"/>
      <c r="CA46" s="225"/>
      <c r="CB46" s="225"/>
      <c r="CC46" s="225"/>
      <c r="CD46" s="245"/>
      <c r="CE46" s="225"/>
      <c r="CF46" s="225"/>
      <c r="CG46" s="225"/>
      <c r="CH46" s="245"/>
      <c r="CI46" s="225"/>
      <c r="CJ46" s="225"/>
      <c r="CK46" s="225"/>
      <c r="CL46" s="225"/>
      <c r="CM46" s="225"/>
      <c r="CN46" s="225"/>
      <c r="CO46" s="225"/>
      <c r="CP46" s="225"/>
      <c r="EI46" s="225"/>
      <c r="EJ46" s="225"/>
      <c r="EK46" s="225"/>
      <c r="EL46" s="225"/>
      <c r="EM46" s="225"/>
      <c r="EN46" s="225"/>
      <c r="EO46" s="225"/>
      <c r="EP46" s="225"/>
      <c r="EQ46" s="225"/>
      <c r="ER46" s="225"/>
      <c r="ES46" s="225"/>
      <c r="ET46" s="225"/>
      <c r="EU46" s="225"/>
      <c r="EV46" s="225"/>
      <c r="EW46" s="225"/>
      <c r="EX46" s="225"/>
      <c r="EY46" s="225"/>
      <c r="EZ46" s="225"/>
      <c r="FA46" s="225"/>
      <c r="FB46" s="225"/>
      <c r="FC46" s="225"/>
      <c r="FD46" s="225"/>
      <c r="IM46" s="225"/>
      <c r="IN46" s="225"/>
      <c r="IO46" s="225"/>
      <c r="IP46" s="225"/>
      <c r="IQ46" s="225"/>
      <c r="IR46" s="225"/>
      <c r="IS46" s="225"/>
      <c r="IT46" s="225"/>
      <c r="IU46" s="225"/>
      <c r="IV46" s="225"/>
      <c r="IW46" s="225"/>
      <c r="IX46" s="225"/>
      <c r="JQ46" s="220"/>
      <c r="JR46" s="220"/>
      <c r="JS46" s="220"/>
      <c r="JT46" s="220"/>
      <c r="JU46" s="220"/>
      <c r="JV46" s="220"/>
      <c r="JW46" s="220"/>
      <c r="JX46" s="220"/>
      <c r="JY46" s="220"/>
      <c r="JZ46" s="220"/>
      <c r="KA46" s="220"/>
      <c r="KB46" s="220"/>
      <c r="KC46" s="220"/>
      <c r="KD46" s="220"/>
      <c r="KE46" s="220"/>
      <c r="KF46" s="220"/>
      <c r="KG46" s="220"/>
      <c r="KH46" s="220"/>
      <c r="KI46" s="220"/>
      <c r="KJ46" s="220"/>
      <c r="KK46" s="245"/>
      <c r="KL46" s="1105"/>
      <c r="KM46" s="1105"/>
      <c r="KN46" s="245"/>
      <c r="KO46" s="245"/>
      <c r="KP46" s="245"/>
      <c r="KQ46" s="1105"/>
      <c r="KR46" s="1105"/>
      <c r="KS46" s="245"/>
      <c r="KT46" s="245"/>
      <c r="KU46" s="245"/>
      <c r="KV46" s="1105"/>
      <c r="KW46" s="1105"/>
      <c r="KX46" s="245"/>
      <c r="KY46" s="245"/>
      <c r="KZ46" s="245"/>
      <c r="LA46" s="1105"/>
      <c r="LB46" s="1105"/>
      <c r="LC46" s="245"/>
      <c r="LD46" s="245"/>
      <c r="LE46" s="245"/>
      <c r="LF46" s="245"/>
      <c r="LG46" s="245"/>
      <c r="LH46" s="1312"/>
      <c r="LI46" s="1312"/>
      <c r="LJ46" s="1224"/>
      <c r="LK46" s="245"/>
      <c r="LL46" s="245"/>
      <c r="LM46" s="398"/>
      <c r="LN46" s="398"/>
      <c r="LO46" s="398"/>
      <c r="LP46" s="398"/>
      <c r="LQ46" s="245"/>
      <c r="LR46" s="1233"/>
      <c r="LS46" s="1227"/>
      <c r="LT46" s="225"/>
      <c r="LU46" s="225"/>
      <c r="LV46" s="245"/>
      <c r="LW46" s="1233"/>
      <c r="LX46" s="1227"/>
      <c r="LY46" s="225"/>
      <c r="LZ46" s="225"/>
      <c r="MA46" s="1094"/>
      <c r="MB46" s="1094"/>
      <c r="MC46" s="1094"/>
      <c r="MD46" s="1094"/>
      <c r="ME46" s="1094"/>
      <c r="MF46" s="1094"/>
      <c r="MG46" s="1094"/>
      <c r="MH46" s="1094"/>
      <c r="MI46" s="1094"/>
      <c r="MJ46" s="1094"/>
      <c r="MK46" s="1094"/>
      <c r="ML46" s="1094"/>
      <c r="NY46" s="225"/>
      <c r="NZ46" s="225"/>
      <c r="OA46" s="225"/>
      <c r="OB46" s="225"/>
      <c r="OC46" s="225"/>
      <c r="OD46" s="225"/>
      <c r="OE46" s="225"/>
      <c r="OF46" s="225"/>
      <c r="OG46" s="225"/>
      <c r="OH46" s="225"/>
      <c r="OI46" s="225"/>
      <c r="OJ46" s="225"/>
      <c r="OK46" s="225"/>
      <c r="OL46" s="225"/>
      <c r="OM46" s="225"/>
      <c r="ON46" s="225"/>
      <c r="OO46" s="225"/>
      <c r="OP46" s="225"/>
      <c r="OQ46" s="225"/>
      <c r="OR46" s="225"/>
      <c r="OS46" s="225"/>
      <c r="OT46" s="225"/>
      <c r="OU46" s="225"/>
      <c r="OV46" s="225"/>
      <c r="OW46" s="225"/>
      <c r="OX46" s="225"/>
      <c r="OY46" s="225"/>
      <c r="OZ46" s="225"/>
      <c r="PA46" s="225"/>
      <c r="PB46" s="225"/>
      <c r="PC46" s="225"/>
      <c r="PD46" s="225"/>
      <c r="PE46" s="225"/>
      <c r="PF46" s="225"/>
      <c r="PG46" s="225"/>
      <c r="PH46" s="225"/>
      <c r="PI46" s="225"/>
      <c r="PJ46" s="225"/>
      <c r="PK46" s="225"/>
      <c r="PL46" s="225"/>
      <c r="PM46" s="225"/>
      <c r="PN46" s="225"/>
      <c r="PU46" s="225"/>
      <c r="PV46" s="225"/>
      <c r="PW46" s="225"/>
      <c r="PX46" s="225"/>
      <c r="PY46" s="225"/>
      <c r="PZ46" s="225"/>
      <c r="QA46" s="225"/>
      <c r="QB46" s="225"/>
      <c r="QC46" s="225"/>
      <c r="QD46" s="225"/>
      <c r="QE46" s="225"/>
      <c r="QF46" s="225"/>
      <c r="QG46" s="225"/>
      <c r="QH46" s="225"/>
      <c r="QI46" s="225"/>
      <c r="QJ46" s="225"/>
      <c r="QK46" s="225"/>
      <c r="QL46" s="225"/>
      <c r="QM46" s="225"/>
      <c r="QN46" s="225"/>
      <c r="QO46" s="225"/>
      <c r="QP46" s="225"/>
      <c r="QQ46" s="225"/>
      <c r="QR46" s="225"/>
      <c r="QW46" s="220"/>
      <c r="QX46" s="220"/>
      <c r="QY46" s="220"/>
      <c r="QZ46" s="1468" t="s">
        <v>99</v>
      </c>
      <c r="RA46" s="1011">
        <f>'План и исполнение'!RM30</f>
        <v>28803000</v>
      </c>
      <c r="RB46" s="1261"/>
      <c r="RC46" s="1261"/>
      <c r="RD46" s="1011">
        <f>'План и исполнение'!RN30</f>
        <v>12567161.530000001</v>
      </c>
      <c r="SC46" s="1468" t="s">
        <v>99</v>
      </c>
      <c r="SG46" s="1012">
        <f>TE37+VI37+SS37+TQ37+UE37</f>
        <v>165500000</v>
      </c>
      <c r="SH46" s="1012">
        <f>TG37+VK37+SU37+TS37+UH37</f>
        <v>15749900</v>
      </c>
      <c r="SI46" s="239"/>
      <c r="SJ46" s="239"/>
      <c r="SK46" s="239"/>
      <c r="SL46" s="239"/>
      <c r="SM46" s="239"/>
      <c r="SN46" s="239"/>
      <c r="SO46" s="239"/>
      <c r="SP46" s="239"/>
      <c r="SQ46" s="239"/>
      <c r="SR46" s="239"/>
      <c r="SS46" s="239"/>
      <c r="ST46" s="239"/>
      <c r="SU46" s="239"/>
      <c r="SV46" s="239"/>
      <c r="SW46" s="239"/>
      <c r="SX46" s="239"/>
      <c r="SY46" s="239"/>
      <c r="SZ46" s="239"/>
      <c r="TA46" s="239"/>
      <c r="TB46" s="239"/>
      <c r="TC46" s="239"/>
      <c r="TD46" s="239"/>
      <c r="TE46" s="239"/>
      <c r="TF46" s="239"/>
      <c r="TG46" s="239"/>
      <c r="TH46" s="239"/>
      <c r="TI46" s="239"/>
      <c r="TJ46" s="239"/>
      <c r="TK46" s="239"/>
      <c r="TL46" s="239"/>
      <c r="TM46" s="239"/>
      <c r="TN46" s="239"/>
      <c r="TO46" s="239"/>
      <c r="TP46" s="239"/>
      <c r="TQ46" s="239"/>
      <c r="TR46" s="239"/>
      <c r="TS46" s="239"/>
      <c r="TT46" s="239"/>
      <c r="TU46" s="239"/>
      <c r="TV46" s="239"/>
      <c r="TW46" s="239"/>
      <c r="TX46" s="239"/>
      <c r="TY46" s="239"/>
      <c r="TZ46" s="239"/>
      <c r="UA46" s="239"/>
      <c r="UB46" s="239"/>
      <c r="UC46" s="239"/>
      <c r="UD46" s="239"/>
      <c r="UE46" s="239"/>
      <c r="UF46" s="239"/>
      <c r="UG46" s="239"/>
      <c r="UH46" s="239"/>
      <c r="UI46" s="239"/>
      <c r="UJ46" s="239"/>
      <c r="UK46" s="239"/>
      <c r="UL46" s="239"/>
      <c r="UM46" s="239"/>
      <c r="UN46" s="239"/>
      <c r="UO46" s="239"/>
      <c r="UP46" s="239"/>
      <c r="UQ46" s="239"/>
      <c r="UR46" s="239"/>
      <c r="US46" s="239"/>
      <c r="UT46" s="239"/>
      <c r="UU46" s="239"/>
      <c r="UV46" s="239"/>
      <c r="UW46" s="239"/>
      <c r="UX46" s="239"/>
      <c r="UY46" s="239"/>
      <c r="UZ46" s="239"/>
      <c r="VA46" s="220"/>
      <c r="VB46" s="1601"/>
      <c r="VC46" s="1601"/>
      <c r="VD46" s="1601"/>
      <c r="VE46" s="220"/>
      <c r="VF46" s="1601"/>
      <c r="VG46" s="1601"/>
      <c r="VH46" s="1601"/>
      <c r="VI46" s="220"/>
      <c r="VJ46" s="220"/>
      <c r="VK46" s="220"/>
      <c r="VL46" s="220"/>
      <c r="VM46" s="220"/>
      <c r="VN46" s="220"/>
      <c r="VO46" s="220"/>
      <c r="VP46" s="220"/>
      <c r="VQ46" s="220"/>
      <c r="VR46" s="220"/>
      <c r="VS46" s="220"/>
      <c r="VT46" s="220"/>
      <c r="VU46" s="220"/>
      <c r="VV46" s="220"/>
      <c r="VW46" s="220"/>
      <c r="VX46" s="220"/>
      <c r="VY46" s="220"/>
      <c r="VZ46" s="220"/>
      <c r="WA46" s="220"/>
      <c r="WB46" s="220"/>
      <c r="WC46" s="220"/>
      <c r="WD46" s="220"/>
      <c r="WE46" s="220"/>
      <c r="WF46" s="220"/>
      <c r="WG46" s="220"/>
      <c r="WH46" s="220"/>
      <c r="WI46" s="220"/>
      <c r="WJ46" s="220"/>
      <c r="WK46" s="220"/>
      <c r="WL46" s="220"/>
      <c r="WM46" s="220"/>
      <c r="WN46" s="220"/>
    </row>
    <row r="47" spans="1:612" ht="18.75" customHeight="1" x14ac:dyDescent="0.25">
      <c r="A47" s="1007" t="s">
        <v>40</v>
      </c>
      <c r="B47" s="1010">
        <f>D47+AI47+'План и исполнение'!RA47+'План и исполнение'!SG47</f>
        <v>771595189.38999987</v>
      </c>
      <c r="C47" s="1010">
        <f>E47+'План и исполнение'!RD47+AJ47+'План и исполнение'!SH47</f>
        <v>275483171.32999998</v>
      </c>
      <c r="D47" s="1011">
        <f>L37+T37+AG37</f>
        <v>160211900</v>
      </c>
      <c r="E47" s="1011">
        <f>M37+U37+AH37</f>
        <v>120759925.2</v>
      </c>
      <c r="V47" s="220"/>
      <c r="AA47" s="220"/>
      <c r="AC47" s="220"/>
      <c r="AD47" s="220"/>
      <c r="AE47" s="220"/>
      <c r="AF47" s="220"/>
      <c r="AG47" s="220"/>
      <c r="AH47" s="1300" t="s">
        <v>40</v>
      </c>
      <c r="AI47" s="1011">
        <f>CW37+DE37+CK37+'План и исполнение'!QY37+'План и исполнение'!NK37+'План и исполнение'!JE37+'План и исполнение'!KU37+'План и исполнение'!MK37+BK37+HK37+FY37+PA37+QM37</f>
        <v>445883289.38999993</v>
      </c>
      <c r="AJ47" s="1011">
        <f>CX37+DF37+CL37+'План и исполнение'!QZ37+'План и исполнение'!NO37+'План и исполнение'!JH37+'План и исполнение'!KZ37+'План и исполнение'!ML37+BO37+HP37+'План и исполнение'!FZ37+PH37+QP37</f>
        <v>138973346.13</v>
      </c>
      <c r="AK47" s="225"/>
      <c r="AL47" s="225"/>
      <c r="AM47" s="225"/>
      <c r="AN47" s="225"/>
      <c r="AO47" s="225"/>
      <c r="AP47" s="225"/>
      <c r="AQ47" s="225"/>
      <c r="AR47" s="225"/>
      <c r="AS47" s="225"/>
      <c r="AT47" s="225"/>
      <c r="AU47" s="225"/>
      <c r="AV47" s="225"/>
      <c r="AW47" s="225"/>
      <c r="AX47" s="225"/>
      <c r="AY47" s="225"/>
      <c r="AZ47" s="225"/>
      <c r="BA47" s="225"/>
      <c r="BB47" s="225"/>
      <c r="BC47" s="225"/>
      <c r="BD47" s="225"/>
      <c r="BE47" s="225"/>
      <c r="BF47" s="225"/>
      <c r="BG47" s="225"/>
      <c r="BH47" s="225"/>
      <c r="BI47" s="225"/>
      <c r="BJ47" s="225"/>
      <c r="BK47" s="225"/>
      <c r="BL47" s="225"/>
      <c r="BM47" s="225"/>
      <c r="BN47" s="225"/>
      <c r="BO47" s="225"/>
      <c r="BP47" s="225"/>
      <c r="BQ47" s="225"/>
      <c r="BR47" s="225"/>
      <c r="BS47" s="225"/>
      <c r="BT47" s="225"/>
      <c r="BU47" s="225"/>
      <c r="BW47" s="225"/>
      <c r="BX47" s="225"/>
      <c r="BY47" s="225"/>
      <c r="CA47" s="225"/>
      <c r="CB47" s="225"/>
      <c r="CC47" s="225"/>
      <c r="CE47" s="225"/>
      <c r="CF47" s="225"/>
      <c r="CG47" s="225"/>
      <c r="CI47" s="225"/>
      <c r="CJ47" s="225"/>
      <c r="CK47" s="225"/>
      <c r="CL47" s="225"/>
      <c r="CM47" s="225"/>
      <c r="CN47" s="225"/>
      <c r="CO47" s="225"/>
      <c r="CP47" s="225"/>
      <c r="EI47" s="225"/>
      <c r="EJ47" s="225"/>
      <c r="EK47" s="225"/>
      <c r="EL47" s="225"/>
      <c r="EM47" s="225"/>
      <c r="EN47" s="225"/>
      <c r="EO47" s="225"/>
      <c r="EP47" s="225"/>
      <c r="EQ47" s="225"/>
      <c r="ER47" s="225"/>
      <c r="ES47" s="225"/>
      <c r="ET47" s="225"/>
      <c r="EU47" s="225"/>
      <c r="EV47" s="225"/>
      <c r="EW47" s="225"/>
      <c r="EX47" s="225"/>
      <c r="EY47" s="225"/>
      <c r="EZ47" s="225"/>
      <c r="FA47" s="225"/>
      <c r="FB47" s="225"/>
      <c r="FC47" s="225"/>
      <c r="FD47" s="225"/>
      <c r="IM47" s="225"/>
      <c r="IN47" s="225"/>
      <c r="IO47" s="225"/>
      <c r="IP47" s="225"/>
      <c r="IQ47" s="225"/>
      <c r="IR47" s="225"/>
      <c r="IS47" s="225"/>
      <c r="IT47" s="225"/>
      <c r="IU47" s="225"/>
      <c r="IV47" s="225"/>
      <c r="IW47" s="225"/>
      <c r="IX47" s="225"/>
      <c r="JQ47" s="220"/>
      <c r="JR47" s="220"/>
      <c r="JS47" s="220"/>
      <c r="JT47" s="220"/>
      <c r="JU47" s="220"/>
      <c r="JV47" s="220"/>
      <c r="JW47" s="220"/>
      <c r="JX47" s="220"/>
      <c r="JY47" s="220"/>
      <c r="JZ47" s="220"/>
      <c r="KA47" s="220"/>
      <c r="KB47" s="220"/>
      <c r="KC47" s="220"/>
      <c r="KD47" s="220"/>
      <c r="KE47" s="220"/>
      <c r="KF47" s="220"/>
      <c r="KG47" s="220"/>
      <c r="KH47" s="220"/>
      <c r="KI47" s="220"/>
      <c r="KJ47" s="220"/>
      <c r="KK47" s="258"/>
      <c r="KL47" s="258"/>
      <c r="KM47" s="258"/>
      <c r="KN47" s="258"/>
      <c r="KO47" s="258"/>
      <c r="KP47" s="258"/>
      <c r="KQ47" s="258"/>
      <c r="KR47" s="258"/>
      <c r="KS47" s="258"/>
      <c r="KT47" s="258"/>
      <c r="KU47" s="258"/>
      <c r="KV47" s="258"/>
      <c r="KW47" s="258"/>
      <c r="KX47" s="258"/>
      <c r="KY47" s="258"/>
      <c r="KZ47" s="258"/>
      <c r="LA47" s="258"/>
      <c r="LB47" s="258"/>
      <c r="LC47" s="258"/>
      <c r="LD47" s="258"/>
      <c r="LE47" s="271"/>
      <c r="LF47" s="271"/>
      <c r="LG47" s="271"/>
      <c r="LH47" s="271"/>
      <c r="LI47" s="271"/>
      <c r="LJ47" s="271"/>
      <c r="LK47" s="271"/>
      <c r="LQ47" s="223"/>
      <c r="LR47" s="242"/>
      <c r="LS47" s="242"/>
      <c r="LT47" s="225"/>
      <c r="LU47" s="225"/>
      <c r="LV47" s="242"/>
      <c r="LY47" s="225"/>
      <c r="LZ47" s="225"/>
      <c r="NY47" s="225"/>
      <c r="NZ47" s="225"/>
      <c r="OA47" s="225"/>
      <c r="OB47" s="225"/>
      <c r="OC47" s="225"/>
      <c r="OD47" s="225"/>
      <c r="OE47" s="225"/>
      <c r="OF47" s="225"/>
      <c r="OG47" s="225"/>
      <c r="OH47" s="225"/>
      <c r="OI47" s="225"/>
      <c r="OJ47" s="225"/>
      <c r="OK47" s="225"/>
      <c r="OL47" s="225"/>
      <c r="OM47" s="225"/>
      <c r="ON47" s="225"/>
      <c r="OO47" s="225"/>
      <c r="OP47" s="225"/>
      <c r="OQ47" s="225"/>
      <c r="OR47" s="225"/>
      <c r="OS47" s="225"/>
      <c r="OT47" s="225"/>
      <c r="OU47" s="225"/>
      <c r="OV47" s="225"/>
      <c r="OW47" s="225"/>
      <c r="OX47" s="225"/>
      <c r="OY47" s="225"/>
      <c r="OZ47" s="225"/>
      <c r="PA47" s="225"/>
      <c r="PB47" s="225"/>
      <c r="PC47" s="225"/>
      <c r="PD47" s="225"/>
      <c r="PE47" s="225"/>
      <c r="PF47" s="225"/>
      <c r="PG47" s="225"/>
      <c r="PH47" s="225"/>
      <c r="PI47" s="225"/>
      <c r="PJ47" s="225"/>
      <c r="PK47" s="225"/>
      <c r="PL47" s="225"/>
      <c r="PM47" s="225"/>
      <c r="PN47" s="225"/>
      <c r="PU47" s="225"/>
      <c r="PV47" s="225"/>
      <c r="PW47" s="225"/>
      <c r="PX47" s="225"/>
      <c r="PY47" s="225"/>
      <c r="PZ47" s="225"/>
      <c r="QA47" s="225"/>
      <c r="QB47" s="225"/>
      <c r="QC47" s="225"/>
      <c r="QD47" s="225"/>
      <c r="QE47" s="225"/>
      <c r="QF47" s="225"/>
      <c r="QG47" s="225"/>
      <c r="QH47" s="225"/>
      <c r="QI47" s="225"/>
      <c r="QJ47" s="225"/>
      <c r="QK47" s="225"/>
      <c r="QL47" s="225"/>
      <c r="QM47" s="225"/>
      <c r="QN47" s="225"/>
      <c r="QO47" s="225"/>
      <c r="QP47" s="225"/>
      <c r="QQ47" s="225"/>
      <c r="QR47" s="225"/>
      <c r="QW47" s="220"/>
      <c r="QX47" s="220"/>
      <c r="QY47" s="220"/>
      <c r="QZ47" s="1468" t="s">
        <v>40</v>
      </c>
      <c r="RA47" s="1011"/>
      <c r="RB47" s="1011">
        <f>'План и исполнение'!SC37</f>
        <v>53910661.750000007</v>
      </c>
      <c r="RC47" s="1261"/>
      <c r="RD47" s="1011"/>
      <c r="RE47" s="225">
        <f>'План и исполнение'!RO37</f>
        <v>143000</v>
      </c>
      <c r="SC47" s="1468" t="s">
        <v>40</v>
      </c>
      <c r="SG47" s="1011">
        <f>TK37+VQ37+SY37+TW37+UM37</f>
        <v>165500000</v>
      </c>
      <c r="SH47" s="1011">
        <f>TL37+VS37+SZ37+TX37+UN37</f>
        <v>15749900</v>
      </c>
      <c r="SI47" s="225"/>
      <c r="SJ47" s="225"/>
      <c r="SK47" s="225"/>
      <c r="SL47" s="225"/>
      <c r="SM47" s="225"/>
      <c r="SN47" s="225"/>
      <c r="SO47" s="225"/>
      <c r="SP47" s="225"/>
      <c r="SQ47" s="225"/>
      <c r="SR47" s="225"/>
      <c r="SS47" s="225"/>
      <c r="ST47" s="225"/>
      <c r="SU47" s="225"/>
      <c r="SV47" s="225"/>
      <c r="SW47" s="225"/>
      <c r="SX47" s="225"/>
      <c r="SY47" s="225"/>
      <c r="SZ47" s="225"/>
      <c r="TA47" s="225"/>
      <c r="TB47" s="225"/>
      <c r="TC47" s="225"/>
      <c r="TD47" s="225"/>
      <c r="TE47" s="225"/>
      <c r="TF47" s="225"/>
      <c r="TG47" s="225"/>
      <c r="TH47" s="225"/>
      <c r="TI47" s="225"/>
      <c r="TJ47" s="225"/>
      <c r="TK47" s="225"/>
      <c r="TL47" s="225"/>
      <c r="TM47" s="225"/>
      <c r="TN47" s="225"/>
      <c r="TO47" s="225"/>
      <c r="TP47" s="225"/>
      <c r="TQ47" s="225"/>
      <c r="TR47" s="225"/>
      <c r="TS47" s="225"/>
      <c r="TT47" s="225"/>
      <c r="TU47" s="225"/>
      <c r="TV47" s="225"/>
      <c r="TW47" s="225"/>
      <c r="TX47" s="225"/>
      <c r="TY47" s="225"/>
      <c r="TZ47" s="225"/>
      <c r="UA47" s="225"/>
      <c r="UB47" s="225"/>
      <c r="UC47" s="225"/>
      <c r="UD47" s="225"/>
      <c r="UE47" s="225"/>
      <c r="UF47" s="225"/>
      <c r="UG47" s="225"/>
      <c r="UH47" s="225"/>
      <c r="UI47" s="225"/>
      <c r="UJ47" s="225"/>
      <c r="UK47" s="225"/>
      <c r="UL47" s="225"/>
      <c r="UM47" s="225"/>
      <c r="UN47" s="225"/>
      <c r="UO47" s="225"/>
      <c r="UP47" s="225"/>
      <c r="UQ47" s="225"/>
      <c r="UR47" s="225"/>
      <c r="US47" s="225"/>
      <c r="UT47" s="225"/>
      <c r="UU47" s="225"/>
      <c r="UV47" s="225"/>
      <c r="UW47" s="225"/>
      <c r="UX47" s="225"/>
      <c r="UY47" s="225"/>
      <c r="UZ47" s="225"/>
      <c r="VA47" s="220"/>
      <c r="VB47" s="1601"/>
      <c r="VC47" s="1601"/>
      <c r="VD47" s="1601"/>
      <c r="VE47" s="220"/>
      <c r="VF47" s="1601"/>
      <c r="VG47" s="1601"/>
      <c r="VH47" s="1601"/>
      <c r="VI47" s="220"/>
      <c r="VJ47" s="220"/>
      <c r="VK47" s="220"/>
      <c r="VL47" s="220"/>
      <c r="VM47" s="220"/>
      <c r="VN47" s="220"/>
      <c r="VO47" s="220"/>
      <c r="VP47" s="220"/>
      <c r="VQ47" s="220"/>
      <c r="VR47" s="220"/>
      <c r="VS47" s="220"/>
      <c r="VT47" s="220"/>
    </row>
    <row r="48" spans="1:612" ht="18.75" customHeight="1" x14ac:dyDescent="0.25">
      <c r="A48" s="1007" t="s">
        <v>41</v>
      </c>
      <c r="B48" s="1010">
        <f>D48+AI48+'План и исполнение'!RA48+'План и исполнение'!SG48</f>
        <v>1508290029.75</v>
      </c>
      <c r="C48" s="1010">
        <f>E48+'План и исполнение'!RD48+AJ48+'План и исполнение'!SH48</f>
        <v>715722178.6400001</v>
      </c>
      <c r="D48" s="1011">
        <f>D46-D47</f>
        <v>867140800</v>
      </c>
      <c r="E48" s="1011">
        <f>E46-E47</f>
        <v>465491945.93000001</v>
      </c>
      <c r="V48" s="220"/>
      <c r="AA48" s="220"/>
      <c r="AC48" s="220"/>
      <c r="AD48" s="220"/>
      <c r="AE48" s="220"/>
      <c r="AF48" s="220"/>
      <c r="AG48" s="220"/>
      <c r="AH48" s="1300" t="s">
        <v>41</v>
      </c>
      <c r="AI48" s="1011">
        <f>AI46-AI47</f>
        <v>612346229.75</v>
      </c>
      <c r="AJ48" s="1011">
        <f>AJ46-AJ47</f>
        <v>237663071.18000001</v>
      </c>
      <c r="AK48" s="225"/>
      <c r="AL48" s="225"/>
      <c r="AM48" s="225"/>
      <c r="AN48" s="225"/>
      <c r="AO48" s="225"/>
      <c r="AP48" s="225"/>
      <c r="AQ48" s="225"/>
      <c r="AR48" s="225"/>
      <c r="AS48" s="225"/>
      <c r="AT48" s="225"/>
      <c r="AU48" s="225"/>
      <c r="AV48" s="225"/>
      <c r="AW48" s="225"/>
      <c r="AX48" s="225"/>
      <c r="AY48" s="225"/>
      <c r="AZ48" s="225"/>
      <c r="BA48" s="225"/>
      <c r="BB48" s="225"/>
      <c r="BC48" s="225"/>
      <c r="BD48" s="225"/>
      <c r="BE48" s="225"/>
      <c r="BF48" s="225"/>
      <c r="BG48" s="225"/>
      <c r="BH48" s="225"/>
      <c r="BI48" s="225"/>
      <c r="BJ48" s="225"/>
      <c r="BK48" s="225"/>
      <c r="BL48" s="225"/>
      <c r="BM48" s="225"/>
      <c r="BN48" s="225"/>
      <c r="BO48" s="225"/>
      <c r="BP48" s="225"/>
      <c r="BQ48" s="225"/>
      <c r="BR48" s="225"/>
      <c r="BS48" s="225"/>
      <c r="BT48" s="225"/>
      <c r="BU48" s="225"/>
      <c r="BW48" s="225"/>
      <c r="BX48" s="225"/>
      <c r="BY48" s="225"/>
      <c r="CA48" s="225"/>
      <c r="CB48" s="225"/>
      <c r="CC48" s="225"/>
      <c r="CE48" s="225"/>
      <c r="CF48" s="225"/>
      <c r="CG48" s="225"/>
      <c r="CI48" s="225"/>
      <c r="CJ48" s="225"/>
      <c r="CK48" s="225"/>
      <c r="CL48" s="225"/>
      <c r="CM48" s="225"/>
      <c r="CN48" s="225"/>
      <c r="CO48" s="225"/>
      <c r="CP48" s="225"/>
      <c r="EI48" s="225"/>
      <c r="EJ48" s="225"/>
      <c r="EK48" s="225"/>
      <c r="EL48" s="225"/>
      <c r="EM48" s="225"/>
      <c r="EN48" s="225"/>
      <c r="EO48" s="225"/>
      <c r="EP48" s="225"/>
      <c r="EQ48" s="225"/>
      <c r="ER48" s="225"/>
      <c r="ES48" s="225"/>
      <c r="ET48" s="225"/>
      <c r="EU48" s="225"/>
      <c r="EV48" s="225"/>
      <c r="EW48" s="225"/>
      <c r="EX48" s="225"/>
      <c r="EY48" s="225"/>
      <c r="EZ48" s="225"/>
      <c r="FA48" s="225"/>
      <c r="FB48" s="225"/>
      <c r="FC48" s="225"/>
      <c r="FD48" s="225"/>
      <c r="IM48" s="225"/>
      <c r="IN48" s="225"/>
      <c r="IO48" s="225"/>
      <c r="IP48" s="225"/>
      <c r="IQ48" s="225"/>
      <c r="IR48" s="225"/>
      <c r="IS48" s="225"/>
      <c r="IT48" s="225"/>
      <c r="IU48" s="225"/>
      <c r="IV48" s="225"/>
      <c r="IW48" s="225"/>
      <c r="IX48" s="225"/>
      <c r="JQ48" s="220"/>
      <c r="JR48" s="220"/>
      <c r="JS48" s="220"/>
      <c r="JT48" s="220"/>
      <c r="JU48" s="220"/>
      <c r="JV48" s="220"/>
      <c r="JW48" s="220"/>
      <c r="JX48" s="220"/>
      <c r="JY48" s="220"/>
      <c r="JZ48" s="220"/>
      <c r="KA48" s="220"/>
      <c r="KB48" s="220"/>
      <c r="KC48" s="220"/>
      <c r="KD48" s="220"/>
      <c r="KE48" s="220"/>
      <c r="KF48" s="220"/>
      <c r="KG48" s="220"/>
      <c r="KH48" s="220"/>
      <c r="KI48" s="220"/>
      <c r="KJ48" s="220"/>
      <c r="KK48" s="258"/>
      <c r="KL48" s="258"/>
      <c r="KM48" s="258"/>
      <c r="KN48" s="258"/>
      <c r="KO48" s="258"/>
      <c r="KP48" s="258"/>
      <c r="KQ48" s="258"/>
      <c r="KR48" s="258"/>
      <c r="KS48" s="258"/>
      <c r="KT48" s="258"/>
      <c r="KU48" s="258"/>
      <c r="KV48" s="258"/>
      <c r="KW48" s="258"/>
      <c r="KX48" s="258"/>
      <c r="KY48" s="258"/>
      <c r="KZ48" s="258"/>
      <c r="LA48" s="258"/>
      <c r="LB48" s="258"/>
      <c r="LC48" s="258"/>
      <c r="LD48" s="258"/>
      <c r="LE48" s="271"/>
      <c r="LF48" s="271"/>
      <c r="LG48" s="271"/>
      <c r="LH48" s="271"/>
      <c r="LI48" s="271"/>
      <c r="LJ48" s="271"/>
      <c r="LK48" s="271"/>
      <c r="LQ48" s="241"/>
      <c r="LR48" s="242"/>
      <c r="LS48" s="242"/>
      <c r="LT48" s="225"/>
      <c r="LU48" s="225"/>
      <c r="LV48" s="242"/>
      <c r="LY48" s="225"/>
      <c r="LZ48" s="225"/>
      <c r="NY48" s="225"/>
      <c r="NZ48" s="225"/>
      <c r="OA48" s="225"/>
      <c r="OB48" s="225"/>
      <c r="OC48" s="225"/>
      <c r="OD48" s="225"/>
      <c r="OE48" s="225"/>
      <c r="OF48" s="225"/>
      <c r="OG48" s="225"/>
      <c r="OH48" s="225"/>
      <c r="OI48" s="225"/>
      <c r="OJ48" s="225"/>
      <c r="OK48" s="225"/>
      <c r="OL48" s="225"/>
      <c r="OM48" s="225"/>
      <c r="ON48" s="225"/>
      <c r="OO48" s="225"/>
      <c r="OP48" s="225"/>
      <c r="OQ48" s="225"/>
      <c r="OR48" s="225"/>
      <c r="OS48" s="225"/>
      <c r="OT48" s="225"/>
      <c r="OU48" s="225"/>
      <c r="OV48" s="225"/>
      <c r="OW48" s="225"/>
      <c r="OX48" s="225"/>
      <c r="OY48" s="225"/>
      <c r="OZ48" s="225"/>
      <c r="PA48" s="225"/>
      <c r="PB48" s="225"/>
      <c r="PC48" s="225"/>
      <c r="PD48" s="225"/>
      <c r="PE48" s="225"/>
      <c r="PF48" s="225"/>
      <c r="PG48" s="225"/>
      <c r="PH48" s="225"/>
      <c r="PI48" s="225"/>
      <c r="PJ48" s="225"/>
      <c r="PK48" s="225"/>
      <c r="PL48" s="225"/>
      <c r="PM48" s="225"/>
      <c r="PN48" s="225"/>
      <c r="PU48" s="225"/>
      <c r="PV48" s="225"/>
      <c r="PW48" s="225"/>
      <c r="PX48" s="225"/>
      <c r="PY48" s="225"/>
      <c r="PZ48" s="225"/>
      <c r="QA48" s="225"/>
      <c r="QB48" s="225"/>
      <c r="QC48" s="225"/>
      <c r="QD48" s="225"/>
      <c r="QE48" s="225"/>
      <c r="QF48" s="225"/>
      <c r="QG48" s="225"/>
      <c r="QH48" s="225"/>
      <c r="QI48" s="225"/>
      <c r="QJ48" s="225"/>
      <c r="QK48" s="225"/>
      <c r="QL48" s="225"/>
      <c r="QM48" s="225"/>
      <c r="QN48" s="225"/>
      <c r="QO48" s="225"/>
      <c r="QP48" s="225"/>
      <c r="QQ48" s="225"/>
      <c r="QR48" s="225"/>
      <c r="QW48" s="220"/>
      <c r="QX48" s="220"/>
      <c r="QY48" s="220"/>
      <c r="QZ48" s="1468" t="s">
        <v>41</v>
      </c>
      <c r="RA48" s="1011">
        <f>RA46-RA47</f>
        <v>28803000</v>
      </c>
      <c r="RB48" s="1011">
        <f>RB46-RB47</f>
        <v>-53910661.750000007</v>
      </c>
      <c r="RC48" s="1261"/>
      <c r="RD48" s="1011">
        <f>RD46-RD47</f>
        <v>12567161.530000001</v>
      </c>
      <c r="RE48" s="225">
        <f>RE46-RE47</f>
        <v>-143000</v>
      </c>
      <c r="SC48" s="1468" t="s">
        <v>41</v>
      </c>
      <c r="SG48" s="1011">
        <f>TI37+VM37+SW37+TU37+UK37</f>
        <v>0</v>
      </c>
      <c r="SH48" s="1011">
        <f>TJ37+VO37+SX37+TV37+UL37</f>
        <v>0</v>
      </c>
      <c r="SI48" s="225"/>
      <c r="SJ48" s="225"/>
      <c r="SK48" s="225"/>
      <c r="SL48" s="225"/>
      <c r="SM48" s="225"/>
      <c r="SN48" s="225"/>
      <c r="SO48" s="225"/>
      <c r="SP48" s="225"/>
      <c r="SQ48" s="225"/>
      <c r="SR48" s="225"/>
      <c r="SS48" s="225"/>
      <c r="ST48" s="225"/>
      <c r="SU48" s="225"/>
      <c r="SV48" s="225"/>
      <c r="SW48" s="225"/>
      <c r="SX48" s="225"/>
      <c r="SY48" s="225"/>
      <c r="SZ48" s="225"/>
      <c r="TA48" s="225"/>
      <c r="TB48" s="225"/>
      <c r="TC48" s="225"/>
      <c r="TD48" s="225"/>
      <c r="TE48" s="225"/>
      <c r="TF48" s="225"/>
      <c r="TG48" s="225"/>
      <c r="TH48" s="225"/>
      <c r="TI48" s="225"/>
      <c r="TJ48" s="225"/>
      <c r="TK48" s="225"/>
      <c r="TL48" s="225"/>
      <c r="TM48" s="225"/>
      <c r="TN48" s="225"/>
      <c r="TO48" s="225"/>
      <c r="TP48" s="225"/>
      <c r="TQ48" s="225"/>
      <c r="TR48" s="225"/>
      <c r="TS48" s="225"/>
      <c r="TT48" s="225"/>
      <c r="TU48" s="225"/>
      <c r="TV48" s="225"/>
      <c r="TW48" s="225"/>
      <c r="TX48" s="225"/>
      <c r="TY48" s="225"/>
      <c r="TZ48" s="225"/>
      <c r="UA48" s="225"/>
      <c r="UB48" s="225"/>
      <c r="UC48" s="225"/>
      <c r="UD48" s="225"/>
      <c r="UE48" s="225"/>
      <c r="UF48" s="225"/>
      <c r="UG48" s="225"/>
      <c r="UH48" s="225"/>
      <c r="UI48" s="225"/>
      <c r="UJ48" s="225"/>
      <c r="UK48" s="225"/>
      <c r="UL48" s="225"/>
      <c r="UM48" s="225"/>
      <c r="UN48" s="225"/>
      <c r="UO48" s="225"/>
      <c r="UP48" s="225"/>
      <c r="UQ48" s="225"/>
      <c r="UR48" s="225"/>
      <c r="US48" s="225"/>
      <c r="UT48" s="225"/>
      <c r="UU48" s="225"/>
      <c r="UV48" s="225"/>
      <c r="UW48" s="225"/>
      <c r="UX48" s="225"/>
      <c r="UY48" s="225"/>
      <c r="UZ48" s="225"/>
      <c r="VA48" s="220"/>
      <c r="VB48" s="1601"/>
      <c r="VC48" s="1601"/>
      <c r="VD48" s="1601"/>
      <c r="VE48" s="220"/>
      <c r="VF48" s="1601"/>
      <c r="VG48" s="1601"/>
      <c r="VH48" s="1601"/>
      <c r="VI48" s="220"/>
      <c r="VJ48" s="220"/>
      <c r="VK48" s="220"/>
      <c r="VL48" s="220"/>
      <c r="VM48" s="220"/>
      <c r="VN48" s="220"/>
      <c r="VO48" s="220"/>
      <c r="VP48" s="220"/>
      <c r="VQ48" s="220"/>
      <c r="VR48" s="220"/>
      <c r="VS48" s="220"/>
      <c r="VT48" s="220"/>
    </row>
    <row r="49" spans="1:612" s="220" customFormat="1" ht="18.75" customHeight="1" x14ac:dyDescent="0.25">
      <c r="A49" s="1007" t="s">
        <v>164</v>
      </c>
      <c r="B49" s="1012">
        <f>B37-B45-B46-B44</f>
        <v>0</v>
      </c>
      <c r="C49" s="1012">
        <f>C37-C45-C46-C44</f>
        <v>0</v>
      </c>
      <c r="D49" s="1012">
        <f>D37-D45-D46-D44</f>
        <v>0</v>
      </c>
      <c r="E49" s="1012">
        <f>E37-E45-E46-E44</f>
        <v>0</v>
      </c>
      <c r="AH49" s="1300" t="s">
        <v>164</v>
      </c>
      <c r="AI49" s="1012">
        <f>AI37-AI45-AI46-AI44</f>
        <v>0</v>
      </c>
      <c r="AJ49" s="1012">
        <f>AJ37-AJ45-AJ46-AJ44</f>
        <v>0</v>
      </c>
      <c r="AK49" s="239"/>
      <c r="AL49" s="239"/>
      <c r="AM49" s="239"/>
      <c r="AN49" s="239"/>
      <c r="AO49" s="239"/>
      <c r="AP49" s="239"/>
      <c r="AQ49" s="239"/>
      <c r="AR49" s="239"/>
      <c r="AS49" s="239"/>
      <c r="AT49" s="239"/>
      <c r="AU49" s="239"/>
      <c r="AV49" s="239"/>
      <c r="AW49" s="239"/>
      <c r="AX49" s="239"/>
      <c r="AY49" s="239"/>
      <c r="AZ49" s="239"/>
      <c r="BA49" s="239"/>
      <c r="BB49" s="239"/>
      <c r="BC49" s="239"/>
      <c r="BD49" s="239"/>
      <c r="BE49" s="239"/>
      <c r="BF49" s="239"/>
      <c r="BG49" s="239"/>
      <c r="BH49" s="239"/>
      <c r="BI49" s="239"/>
      <c r="BJ49" s="239"/>
      <c r="BK49" s="239"/>
      <c r="BL49" s="239"/>
      <c r="BM49" s="239"/>
      <c r="BN49" s="239"/>
      <c r="BO49" s="239"/>
      <c r="BP49" s="239"/>
      <c r="BQ49" s="239"/>
      <c r="BR49" s="239"/>
      <c r="BS49" s="239"/>
      <c r="BT49" s="239"/>
      <c r="BU49" s="239"/>
      <c r="BV49"/>
      <c r="BW49" s="239"/>
      <c r="BX49" s="239"/>
      <c r="BY49" s="239"/>
      <c r="BZ49"/>
      <c r="CA49" s="239"/>
      <c r="CB49" s="239"/>
      <c r="CC49" s="239"/>
      <c r="CD49"/>
      <c r="CE49" s="239"/>
      <c r="CF49" s="239"/>
      <c r="CG49" s="239"/>
      <c r="CH49"/>
      <c r="CI49" s="239"/>
      <c r="CJ49" s="239"/>
      <c r="CK49" s="239"/>
      <c r="CL49" s="239"/>
      <c r="CM49" s="239"/>
      <c r="CN49" s="239"/>
      <c r="CO49" s="239"/>
      <c r="CP49" s="239"/>
      <c r="DG49" s="1259"/>
      <c r="DH49" s="1259"/>
      <c r="DI49" s="1259"/>
      <c r="DJ49" s="1259"/>
      <c r="DK49" s="1259"/>
      <c r="DL49" s="1259"/>
      <c r="EI49" s="239"/>
      <c r="EJ49" s="239"/>
      <c r="EK49" s="239"/>
      <c r="EL49" s="239"/>
      <c r="EM49" s="239"/>
      <c r="EN49" s="239"/>
      <c r="EO49" s="239"/>
      <c r="EP49" s="239"/>
      <c r="EQ49" s="239"/>
      <c r="ER49" s="239"/>
      <c r="ES49" s="239"/>
      <c r="ET49" s="239"/>
      <c r="EU49" s="239"/>
      <c r="EV49" s="239"/>
      <c r="EW49" s="239"/>
      <c r="EX49" s="239"/>
      <c r="EY49" s="239"/>
      <c r="EZ49" s="239"/>
      <c r="FA49" s="239"/>
      <c r="FB49" s="239"/>
      <c r="FC49" s="239"/>
      <c r="FD49" s="239"/>
      <c r="FK49" s="1136"/>
      <c r="FL49" s="1136"/>
      <c r="FM49" s="1136"/>
      <c r="FN49" s="1136"/>
      <c r="FO49" s="1136"/>
      <c r="FP49" s="1136"/>
      <c r="FQ49" s="1298"/>
      <c r="FR49" s="1298"/>
      <c r="FS49" s="1298"/>
      <c r="FT49" s="1298"/>
      <c r="FU49" s="1298"/>
      <c r="FV49" s="1298"/>
      <c r="FW49" s="1298"/>
      <c r="FX49" s="1298"/>
      <c r="FY49" s="1298"/>
      <c r="FZ49" s="1298"/>
      <c r="GA49" s="1392"/>
      <c r="GB49" s="1392"/>
      <c r="GC49" s="1392"/>
      <c r="GD49" s="1392"/>
      <c r="GE49" s="1392"/>
      <c r="GF49" s="1392"/>
      <c r="GG49" s="1244"/>
      <c r="GH49" s="1371"/>
      <c r="GI49" s="1371"/>
      <c r="GJ49" s="1244"/>
      <c r="GK49" s="1244"/>
      <c r="GL49" s="1244"/>
      <c r="GM49" s="1371"/>
      <c r="GN49" s="1371"/>
      <c r="GO49" s="1244"/>
      <c r="GP49" s="1244"/>
      <c r="GQ49" s="1244"/>
      <c r="GR49" s="1371"/>
      <c r="GS49" s="1371"/>
      <c r="GT49" s="1244"/>
      <c r="GU49" s="1244"/>
      <c r="GV49" s="1244"/>
      <c r="GW49" s="1371"/>
      <c r="GX49" s="1371"/>
      <c r="GY49" s="1244"/>
      <c r="GZ49" s="1244"/>
      <c r="HA49" s="1244"/>
      <c r="HB49" s="1371"/>
      <c r="HC49" s="1371"/>
      <c r="HD49" s="1244"/>
      <c r="HE49" s="1244"/>
      <c r="HF49" s="1244"/>
      <c r="HG49" s="1371"/>
      <c r="HH49" s="1371"/>
      <c r="HI49" s="1244"/>
      <c r="HJ49" s="1244"/>
      <c r="HK49" s="1244"/>
      <c r="HL49" s="1371"/>
      <c r="HM49" s="1371"/>
      <c r="HN49" s="1244"/>
      <c r="HO49" s="1244"/>
      <c r="HP49" s="1244"/>
      <c r="HQ49" s="1371"/>
      <c r="HR49" s="1371"/>
      <c r="HS49" s="1244"/>
      <c r="HT49" s="1244"/>
      <c r="HU49" s="1478"/>
      <c r="HV49" s="1478"/>
      <c r="HW49" s="1478"/>
      <c r="HX49" s="1478"/>
      <c r="HY49" s="1478"/>
      <c r="HZ49" s="1478"/>
      <c r="IA49" s="1590"/>
      <c r="IB49" s="1590"/>
      <c r="IC49" s="1590"/>
      <c r="ID49" s="1590"/>
      <c r="IE49" s="1590"/>
      <c r="IF49" s="1590"/>
      <c r="IM49" s="239"/>
      <c r="IN49" s="239"/>
      <c r="IO49" s="239"/>
      <c r="IP49" s="239"/>
      <c r="IQ49" s="239"/>
      <c r="IR49" s="239"/>
      <c r="IS49" s="239"/>
      <c r="IT49" s="239"/>
      <c r="IU49" s="239"/>
      <c r="IV49" s="239"/>
      <c r="IW49" s="239"/>
      <c r="IX49" s="239"/>
      <c r="JK49" s="1222"/>
      <c r="JL49" s="1222"/>
      <c r="JM49" s="1222"/>
      <c r="JN49" s="1222"/>
      <c r="JO49" s="1222"/>
      <c r="JP49" s="1222"/>
      <c r="KK49" s="246"/>
      <c r="KL49" s="246"/>
      <c r="KM49" s="246"/>
      <c r="KN49" s="246"/>
      <c r="KO49" s="246"/>
      <c r="KP49" s="246"/>
      <c r="KQ49" s="246"/>
      <c r="KR49" s="246"/>
      <c r="KS49" s="246"/>
      <c r="KT49" s="246"/>
      <c r="KU49" s="246"/>
      <c r="KV49" s="246"/>
      <c r="KW49" s="246"/>
      <c r="KX49" s="246"/>
      <c r="KY49" s="246"/>
      <c r="KZ49" s="246"/>
      <c r="LA49" s="246"/>
      <c r="LB49" s="246"/>
      <c r="LC49" s="246"/>
      <c r="LD49" s="246"/>
      <c r="LE49" s="271"/>
      <c r="LF49" s="271"/>
      <c r="LG49" s="271"/>
      <c r="LH49" s="271"/>
      <c r="LI49" s="271"/>
      <c r="LJ49" s="271"/>
      <c r="LK49" s="271"/>
      <c r="LL49" s="271"/>
      <c r="LM49"/>
      <c r="LN49"/>
      <c r="LO49"/>
      <c r="LP49"/>
      <c r="LQ49"/>
      <c r="LR49"/>
      <c r="LS49"/>
      <c r="LT49" s="239"/>
      <c r="LU49" s="239"/>
      <c r="LV49"/>
      <c r="LW49"/>
      <c r="LX49"/>
      <c r="LY49" s="239"/>
      <c r="LZ49" s="239"/>
      <c r="MA49"/>
      <c r="MB49"/>
      <c r="MC49"/>
      <c r="MD49"/>
      <c r="ME49"/>
      <c r="MF49"/>
      <c r="MG49"/>
      <c r="MH49"/>
      <c r="MI49"/>
      <c r="MJ49"/>
      <c r="MK49"/>
      <c r="ML49"/>
      <c r="MP49" s="1235"/>
      <c r="MT49" s="1235"/>
      <c r="MX49" s="1235"/>
      <c r="NB49" s="1235"/>
      <c r="NF49" s="1235"/>
      <c r="NJ49" s="1235"/>
      <c r="NN49" s="1235"/>
      <c r="NR49" s="1235"/>
      <c r="NS49" s="1626"/>
      <c r="NT49" s="1626"/>
      <c r="NU49" s="1626"/>
      <c r="NV49" s="1626"/>
      <c r="NW49" s="1626"/>
      <c r="NX49" s="1626"/>
      <c r="NY49" s="239"/>
      <c r="NZ49" s="239"/>
      <c r="OA49" s="239"/>
      <c r="OB49" s="239"/>
      <c r="OC49" s="239"/>
      <c r="OD49" s="239"/>
      <c r="OE49" s="239"/>
      <c r="OF49" s="239"/>
      <c r="OG49" s="239"/>
      <c r="OH49" s="239"/>
      <c r="OI49" s="239"/>
      <c r="OJ49" s="239"/>
      <c r="OK49" s="239"/>
      <c r="OL49" s="239"/>
      <c r="OM49" s="239"/>
      <c r="ON49" s="239"/>
      <c r="OO49" s="239"/>
      <c r="OP49" s="239"/>
      <c r="OQ49" s="239"/>
      <c r="OR49" s="239"/>
      <c r="OS49" s="239"/>
      <c r="OT49" s="239"/>
      <c r="OU49" s="239"/>
      <c r="OV49" s="239"/>
      <c r="OW49" s="239"/>
      <c r="OX49" s="239"/>
      <c r="OY49" s="239"/>
      <c r="OZ49" s="239"/>
      <c r="PA49" s="239"/>
      <c r="PB49" s="239"/>
      <c r="PC49" s="239"/>
      <c r="PD49" s="239"/>
      <c r="PE49" s="239"/>
      <c r="PF49" s="239"/>
      <c r="PG49" s="239"/>
      <c r="PH49" s="239"/>
      <c r="PI49" s="239"/>
      <c r="PJ49" s="239"/>
      <c r="PK49" s="239"/>
      <c r="PL49" s="239"/>
      <c r="PM49" s="239"/>
      <c r="PN49" s="239"/>
      <c r="PO49" s="1146"/>
      <c r="PP49" s="1146"/>
      <c r="PQ49" s="1146"/>
      <c r="PR49" s="1146"/>
      <c r="PS49" s="1146"/>
      <c r="PT49" s="1146"/>
      <c r="PU49" s="239"/>
      <c r="PV49" s="239"/>
      <c r="PW49" s="239"/>
      <c r="PX49" s="239"/>
      <c r="PY49" s="239"/>
      <c r="PZ49" s="239"/>
      <c r="QA49" s="239"/>
      <c r="QB49" s="239"/>
      <c r="QC49" s="239"/>
      <c r="QD49" s="239"/>
      <c r="QE49" s="239"/>
      <c r="QF49" s="239"/>
      <c r="QG49" s="239"/>
      <c r="QH49" s="239"/>
      <c r="QI49" s="239"/>
      <c r="QJ49" s="239"/>
      <c r="QK49" s="239"/>
      <c r="QL49" s="239"/>
      <c r="QM49" s="239"/>
      <c r="QN49" s="239"/>
      <c r="QO49" s="239"/>
      <c r="QP49" s="239"/>
      <c r="QQ49" s="239"/>
      <c r="QR49" s="239"/>
      <c r="QZ49" s="1468" t="s">
        <v>164</v>
      </c>
      <c r="RA49" s="1012">
        <f>RA37-RA45-RA46-RA44</f>
        <v>0</v>
      </c>
      <c r="RB49" s="1248"/>
      <c r="RC49" s="1248"/>
      <c r="RD49" s="1012">
        <f>RD37-RD45-RD46-RD44</f>
        <v>0</v>
      </c>
      <c r="RW49" s="1235"/>
      <c r="RX49" s="1235"/>
      <c r="SA49" s="1643"/>
      <c r="SC49" s="1468" t="s">
        <v>164</v>
      </c>
      <c r="SE49" s="1643"/>
      <c r="SG49" s="1011">
        <f>SG46-SG47-SG48</f>
        <v>0</v>
      </c>
      <c r="SH49" s="1011">
        <f>SH46-SH47-SH48</f>
        <v>0</v>
      </c>
      <c r="SI49" s="225"/>
      <c r="SJ49" s="225"/>
      <c r="SK49" s="225"/>
      <c r="SL49" s="225"/>
      <c r="SM49" s="225"/>
      <c r="SN49" s="225"/>
      <c r="SO49" s="225"/>
      <c r="SP49" s="225"/>
      <c r="SQ49" s="225"/>
      <c r="SR49" s="225"/>
      <c r="SS49" s="225"/>
      <c r="ST49" s="225"/>
      <c r="SU49" s="225"/>
      <c r="SV49" s="225"/>
      <c r="SW49" s="225"/>
      <c r="SX49" s="225"/>
      <c r="SY49" s="225"/>
      <c r="SZ49" s="225"/>
      <c r="TA49" s="225"/>
      <c r="TB49" s="225"/>
      <c r="TC49" s="225"/>
      <c r="TD49" s="225"/>
      <c r="TE49" s="225"/>
      <c r="TF49" s="225"/>
      <c r="TG49" s="225"/>
      <c r="TH49" s="225"/>
      <c r="TI49" s="225"/>
      <c r="TJ49" s="225"/>
      <c r="TK49" s="225"/>
      <c r="TL49" s="225"/>
      <c r="TM49" s="225"/>
      <c r="TN49" s="225"/>
      <c r="TO49" s="225"/>
      <c r="TP49" s="225"/>
      <c r="TQ49" s="225"/>
      <c r="TR49" s="225"/>
      <c r="TS49" s="225"/>
      <c r="TT49" s="225"/>
      <c r="TU49" s="225"/>
      <c r="TV49" s="225"/>
      <c r="TW49" s="225"/>
      <c r="TX49" s="225"/>
      <c r="TY49" s="225"/>
      <c r="TZ49" s="225"/>
      <c r="UA49" s="225"/>
      <c r="UB49" s="225"/>
      <c r="UC49" s="225"/>
      <c r="UD49" s="225"/>
      <c r="UE49" s="225"/>
      <c r="UF49" s="225"/>
      <c r="UG49" s="225"/>
      <c r="UH49" s="225"/>
      <c r="UI49" s="225"/>
      <c r="UJ49" s="225"/>
      <c r="UK49" s="225"/>
      <c r="UL49" s="225"/>
      <c r="UM49" s="225"/>
      <c r="UN49" s="225"/>
      <c r="UO49" s="225"/>
      <c r="UP49" s="225"/>
      <c r="UQ49" s="225"/>
      <c r="UR49" s="225"/>
      <c r="US49" s="225"/>
      <c r="UT49" s="225"/>
      <c r="UU49" s="225"/>
      <c r="UV49" s="225"/>
      <c r="UW49" s="225"/>
      <c r="UX49" s="225"/>
      <c r="UY49" s="225"/>
      <c r="UZ49" s="225"/>
      <c r="VB49" s="1601"/>
      <c r="VC49" s="1601"/>
      <c r="VD49" s="1601"/>
      <c r="VF49" s="1601"/>
      <c r="VG49" s="1601"/>
      <c r="VH49" s="1601"/>
      <c r="VU49" s="223"/>
      <c r="VV49" s="223"/>
      <c r="VW49" s="223"/>
      <c r="VX49" s="223"/>
      <c r="VY49" s="223"/>
      <c r="VZ49" s="223"/>
      <c r="WA49" s="223"/>
      <c r="WB49" s="223"/>
      <c r="WC49" s="223"/>
      <c r="WD49" s="223"/>
      <c r="WE49" s="223"/>
      <c r="WF49" s="223"/>
      <c r="WG49" s="223"/>
      <c r="WH49" s="223"/>
      <c r="WI49" s="223"/>
      <c r="WJ49" s="223"/>
      <c r="WK49" s="223"/>
      <c r="WL49" s="223"/>
      <c r="WM49" s="223"/>
      <c r="WN49" s="223"/>
    </row>
    <row r="50" spans="1:612" s="220" customFormat="1" ht="18.75" customHeight="1" x14ac:dyDescent="0.25">
      <c r="B50" s="239"/>
      <c r="C50" s="239"/>
      <c r="D50" s="239"/>
      <c r="E50" s="239"/>
      <c r="AI50" s="1249"/>
      <c r="AJ50" s="1249"/>
      <c r="AK50" s="1202"/>
      <c r="AL50" s="239"/>
      <c r="AM50" s="239"/>
      <c r="AN50" s="239"/>
      <c r="AO50" s="239"/>
      <c r="AP50" s="1202"/>
      <c r="AQ50" s="239"/>
      <c r="AR50" s="239"/>
      <c r="AS50" s="239"/>
      <c r="AT50" s="239"/>
      <c r="AU50" s="1202"/>
      <c r="AV50" s="239"/>
      <c r="AW50" s="239"/>
      <c r="AX50" s="239"/>
      <c r="AY50" s="1202"/>
      <c r="AZ50" s="239"/>
      <c r="BA50" s="239"/>
      <c r="BB50" s="239"/>
      <c r="BC50" s="1202"/>
      <c r="BD50" s="239"/>
      <c r="BE50" s="239"/>
      <c r="BF50" s="239"/>
      <c r="BG50" s="1202"/>
      <c r="BH50" s="239"/>
      <c r="BI50" s="239"/>
      <c r="BJ50" s="239"/>
      <c r="BK50" s="1202"/>
      <c r="BL50" s="239"/>
      <c r="BM50" s="239"/>
      <c r="BN50" s="239"/>
      <c r="BO50" s="1202"/>
      <c r="BP50" s="239"/>
      <c r="BQ50" s="239"/>
      <c r="BR50" s="239"/>
      <c r="BS50" s="239"/>
      <c r="BT50" s="239"/>
      <c r="BU50" s="239"/>
      <c r="BW50" s="239"/>
      <c r="BX50" s="239"/>
      <c r="BY50" s="239"/>
      <c r="CA50" s="239"/>
      <c r="CB50" s="239"/>
      <c r="CC50" s="239"/>
      <c r="CE50" s="239"/>
      <c r="CF50" s="239"/>
      <c r="CG50" s="239"/>
      <c r="CI50" s="239"/>
      <c r="CJ50" s="239"/>
      <c r="CK50" s="239"/>
      <c r="CL50" s="239"/>
      <c r="CM50" s="239"/>
      <c r="CN50" s="239"/>
      <c r="CO50" s="239"/>
      <c r="CP50" s="239"/>
      <c r="DG50" s="1259"/>
      <c r="DH50" s="1259"/>
      <c r="DI50" s="1259"/>
      <c r="DJ50" s="1259"/>
      <c r="DK50" s="1259"/>
      <c r="DL50" s="1259"/>
      <c r="EI50" s="239"/>
      <c r="EJ50" s="239"/>
      <c r="EK50" s="239"/>
      <c r="EL50" s="239"/>
      <c r="EM50" s="239"/>
      <c r="EN50" s="239"/>
      <c r="EO50" s="239"/>
      <c r="EP50" s="239"/>
      <c r="EQ50" s="239"/>
      <c r="ER50" s="239"/>
      <c r="ES50" s="239"/>
      <c r="ET50" s="239"/>
      <c r="EU50" s="239"/>
      <c r="EV50" s="239"/>
      <c r="EW50" s="239"/>
      <c r="EX50" s="239"/>
      <c r="EY50" s="239"/>
      <c r="EZ50" s="239"/>
      <c r="FA50" s="239"/>
      <c r="FB50" s="239"/>
      <c r="FC50" s="239"/>
      <c r="FD50" s="239"/>
      <c r="FK50" s="1136"/>
      <c r="FL50" s="1136"/>
      <c r="FM50" s="1136"/>
      <c r="FN50" s="1136"/>
      <c r="FO50" s="1136"/>
      <c r="FP50" s="1136"/>
      <c r="FQ50" s="1298"/>
      <c r="FR50" s="1298"/>
      <c r="FS50" s="1298"/>
      <c r="FT50" s="1298"/>
      <c r="FU50" s="1298"/>
      <c r="FV50" s="1298"/>
      <c r="FW50" s="1298"/>
      <c r="FX50" s="1298"/>
      <c r="FY50" s="1298"/>
      <c r="FZ50" s="1298"/>
      <c r="GA50" s="1392"/>
      <c r="GB50" s="1392"/>
      <c r="GC50" s="1392"/>
      <c r="GD50" s="1392"/>
      <c r="GE50" s="1392"/>
      <c r="GF50" s="1392"/>
      <c r="GG50" s="1244"/>
      <c r="GH50" s="1371"/>
      <c r="GI50" s="1371"/>
      <c r="GJ50" s="1244"/>
      <c r="GK50" s="1244"/>
      <c r="GL50" s="1244"/>
      <c r="GM50" s="1371"/>
      <c r="GN50" s="1371"/>
      <c r="GO50" s="1244"/>
      <c r="GP50" s="1244"/>
      <c r="GQ50" s="1244"/>
      <c r="GR50" s="1371"/>
      <c r="GS50" s="1371"/>
      <c r="GT50" s="1244"/>
      <c r="GU50" s="1244"/>
      <c r="GV50" s="1244"/>
      <c r="GW50" s="1371"/>
      <c r="GX50" s="1371"/>
      <c r="GY50" s="1244"/>
      <c r="GZ50" s="1244"/>
      <c r="HA50" s="1244"/>
      <c r="HB50" s="1371"/>
      <c r="HC50" s="1371"/>
      <c r="HD50" s="1244"/>
      <c r="HE50" s="1244"/>
      <c r="HF50" s="1244"/>
      <c r="HG50" s="1371"/>
      <c r="HH50" s="1371"/>
      <c r="HI50" s="1244"/>
      <c r="HJ50" s="1244"/>
      <c r="HK50" s="1244"/>
      <c r="HL50" s="1371"/>
      <c r="HM50" s="1371"/>
      <c r="HN50" s="1244"/>
      <c r="HO50" s="1244"/>
      <c r="HP50" s="1244"/>
      <c r="HQ50" s="1371"/>
      <c r="HR50" s="1371"/>
      <c r="HS50" s="1244"/>
      <c r="HT50" s="1244"/>
      <c r="HU50" s="1478"/>
      <c r="HV50" s="1478"/>
      <c r="HW50" s="1478"/>
      <c r="HX50" s="1478"/>
      <c r="HY50" s="1478"/>
      <c r="HZ50" s="1478"/>
      <c r="IA50" s="1590"/>
      <c r="IB50" s="1590"/>
      <c r="IC50" s="1590"/>
      <c r="ID50" s="1590"/>
      <c r="IE50" s="1590"/>
      <c r="IF50" s="1590"/>
      <c r="IM50" s="239"/>
      <c r="IN50" s="239"/>
      <c r="IO50" s="239"/>
      <c r="IP50" s="239"/>
      <c r="IQ50" s="239"/>
      <c r="IR50" s="239"/>
      <c r="IS50" s="239"/>
      <c r="IT50" s="239"/>
      <c r="IU50" s="239"/>
      <c r="IV50" s="239"/>
      <c r="IW50" s="239"/>
      <c r="IX50" s="239"/>
      <c r="JK50" s="1222"/>
      <c r="JL50" s="1222"/>
      <c r="JM50" s="1222"/>
      <c r="JN50" s="1222"/>
      <c r="JO50" s="1222"/>
      <c r="JP50" s="1222"/>
      <c r="KK50" s="246"/>
      <c r="KL50" s="246"/>
      <c r="KM50" s="246"/>
      <c r="KN50" s="246"/>
      <c r="KO50" s="246"/>
      <c r="KP50" s="246"/>
      <c r="KQ50" s="246"/>
      <c r="KR50" s="246"/>
      <c r="KS50" s="246"/>
      <c r="KT50" s="246"/>
      <c r="KU50" s="246"/>
      <c r="KV50" s="246"/>
      <c r="KW50" s="246"/>
      <c r="KX50" s="246"/>
      <c r="KY50" s="246"/>
      <c r="KZ50" s="246"/>
      <c r="LA50" s="246"/>
      <c r="LB50" s="246"/>
      <c r="LC50" s="246"/>
      <c r="LD50" s="246"/>
      <c r="LE50" s="239"/>
      <c r="LF50" s="239"/>
      <c r="LG50" s="239"/>
      <c r="LH50" s="239"/>
      <c r="LI50" s="239"/>
      <c r="LJ50" s="239"/>
      <c r="LK50" s="239"/>
      <c r="LL50" s="239"/>
      <c r="LN50" s="1310"/>
      <c r="LO50" s="1310"/>
      <c r="LP50" s="1222"/>
      <c r="LR50" s="1231"/>
      <c r="LS50" s="1228"/>
      <c r="LT50" s="239"/>
      <c r="LU50" s="239"/>
      <c r="LW50" s="1231"/>
      <c r="LX50" s="1228"/>
      <c r="LY50" s="239"/>
      <c r="LZ50" s="239"/>
      <c r="MP50" s="1235"/>
      <c r="MT50" s="1235"/>
      <c r="MX50" s="1235"/>
      <c r="NB50" s="1235"/>
      <c r="NF50" s="1235"/>
      <c r="NJ50" s="1235"/>
      <c r="NN50" s="1235"/>
      <c r="NR50" s="1235"/>
      <c r="NS50" s="1626"/>
      <c r="NT50" s="1626"/>
      <c r="NU50" s="1626"/>
      <c r="NV50" s="1626"/>
      <c r="NW50" s="1626"/>
      <c r="NX50" s="1626"/>
      <c r="NY50" s="239"/>
      <c r="NZ50" s="239"/>
      <c r="OA50" s="239"/>
      <c r="OB50" s="239"/>
      <c r="OC50" s="239"/>
      <c r="OD50" s="239"/>
      <c r="OE50" s="239"/>
      <c r="OF50" s="239"/>
      <c r="OG50" s="239"/>
      <c r="OH50" s="239"/>
      <c r="OI50" s="239"/>
      <c r="OJ50" s="239"/>
      <c r="OK50" s="239"/>
      <c r="OL50" s="239"/>
      <c r="OM50" s="239"/>
      <c r="ON50" s="239"/>
      <c r="OO50" s="239"/>
      <c r="OP50" s="239"/>
      <c r="OQ50" s="239"/>
      <c r="OR50" s="239"/>
      <c r="OS50" s="239"/>
      <c r="OT50" s="239"/>
      <c r="OU50" s="239"/>
      <c r="OV50" s="239"/>
      <c r="OW50" s="239"/>
      <c r="OX50" s="239"/>
      <c r="OY50" s="239"/>
      <c r="OZ50" s="239"/>
      <c r="PA50" s="239"/>
      <c r="PB50" s="239"/>
      <c r="PC50" s="239"/>
      <c r="PD50" s="239"/>
      <c r="PE50" s="239"/>
      <c r="PF50" s="239"/>
      <c r="PG50" s="239"/>
      <c r="PH50" s="239"/>
      <c r="PI50" s="239"/>
      <c r="PJ50" s="239"/>
      <c r="PK50" s="239"/>
      <c r="PL50" s="239"/>
      <c r="PM50" s="239"/>
      <c r="PN50" s="239"/>
      <c r="PO50" s="1146"/>
      <c r="PP50" s="1146"/>
      <c r="PQ50" s="1146"/>
      <c r="PR50" s="1146"/>
      <c r="PS50" s="1146"/>
      <c r="PT50" s="1146"/>
      <c r="PU50" s="239"/>
      <c r="PV50" s="239"/>
      <c r="PW50" s="239"/>
      <c r="PX50" s="239"/>
      <c r="PY50" s="239"/>
      <c r="PZ50" s="239"/>
      <c r="QA50" s="239"/>
      <c r="QB50" s="239"/>
      <c r="QC50" s="239"/>
      <c r="QD50" s="239"/>
      <c r="QE50" s="239"/>
      <c r="QF50" s="239"/>
      <c r="QG50" s="239"/>
      <c r="QH50" s="239"/>
      <c r="QI50" s="239"/>
      <c r="QJ50" s="239"/>
      <c r="QK50" s="239"/>
      <c r="QL50" s="239"/>
      <c r="QM50" s="239"/>
      <c r="QN50" s="239"/>
      <c r="QO50" s="239"/>
      <c r="QP50" s="239"/>
      <c r="QQ50" s="239"/>
      <c r="QR50" s="239"/>
      <c r="RW50" s="1235"/>
      <c r="RX50" s="1235"/>
      <c r="SA50" s="1643"/>
      <c r="SD50" s="1249"/>
      <c r="SE50" s="1643"/>
      <c r="SF50" s="1249"/>
      <c r="SG50" s="1249"/>
      <c r="SH50" s="1249"/>
      <c r="SI50" s="225"/>
      <c r="SJ50" s="225"/>
      <c r="SK50" s="225"/>
      <c r="SL50" s="225"/>
      <c r="SM50" s="225"/>
      <c r="SN50" s="225"/>
      <c r="SO50" s="225"/>
      <c r="SP50" s="225"/>
      <c r="SQ50" s="225"/>
      <c r="SR50" s="225"/>
      <c r="SS50" s="225"/>
      <c r="ST50" s="225"/>
      <c r="SU50" s="225"/>
      <c r="SV50" s="225"/>
      <c r="SW50" s="225"/>
      <c r="SX50" s="225"/>
      <c r="SY50" s="225"/>
      <c r="SZ50" s="225"/>
      <c r="TA50" s="225"/>
      <c r="TB50" s="225"/>
      <c r="TC50" s="225"/>
      <c r="TD50" s="225"/>
      <c r="TE50" s="225"/>
      <c r="TF50" s="225"/>
      <c r="TG50" s="225"/>
      <c r="TH50" s="225"/>
      <c r="TI50" s="225"/>
      <c r="TJ50" s="225"/>
      <c r="TK50" s="225"/>
      <c r="TL50" s="225"/>
      <c r="TM50" s="225"/>
      <c r="TN50" s="225"/>
      <c r="TO50" s="225"/>
      <c r="TP50" s="225"/>
      <c r="TQ50" s="225"/>
      <c r="TR50" s="225"/>
      <c r="TS50" s="225"/>
      <c r="TT50" s="225"/>
      <c r="TU50" s="225"/>
      <c r="TV50" s="225"/>
      <c r="TW50" s="225"/>
      <c r="TX50" s="225"/>
      <c r="TY50" s="225"/>
      <c r="TZ50" s="225"/>
      <c r="UA50" s="225"/>
      <c r="UB50" s="225"/>
      <c r="UC50" s="225"/>
      <c r="UD50" s="225"/>
      <c r="UE50" s="225"/>
      <c r="UF50" s="225"/>
      <c r="UG50" s="225"/>
      <c r="UH50" s="225"/>
      <c r="UI50" s="225"/>
      <c r="UJ50" s="225"/>
      <c r="UK50" s="225"/>
      <c r="UL50" s="225"/>
      <c r="UM50" s="225"/>
      <c r="UN50" s="225"/>
      <c r="UO50" s="225"/>
      <c r="UP50" s="225"/>
      <c r="UQ50" s="225"/>
      <c r="UR50" s="225"/>
      <c r="US50" s="225"/>
      <c r="UT50" s="225"/>
      <c r="UU50" s="225"/>
      <c r="UV50" s="225"/>
      <c r="UW50" s="225"/>
      <c r="UX50" s="225"/>
      <c r="UY50" s="225"/>
      <c r="UZ50" s="225"/>
      <c r="VB50" s="1601"/>
      <c r="VC50" s="1601"/>
      <c r="VD50" s="1601"/>
      <c r="VF50" s="1601"/>
      <c r="VG50" s="1601"/>
      <c r="VH50" s="1601"/>
      <c r="VU50" s="223"/>
      <c r="VV50" s="223"/>
      <c r="VW50" s="223"/>
      <c r="VX50" s="223"/>
      <c r="VY50" s="223"/>
      <c r="VZ50" s="223"/>
      <c r="WA50" s="223"/>
      <c r="WB50" s="223"/>
      <c r="WC50" s="223"/>
      <c r="WD50" s="223"/>
      <c r="WE50" s="223"/>
      <c r="WF50" s="223"/>
      <c r="WG50" s="223"/>
      <c r="WH50" s="223"/>
      <c r="WI50" s="223"/>
      <c r="WJ50" s="223"/>
      <c r="WK50" s="223"/>
      <c r="WL50" s="223"/>
      <c r="WM50" s="223"/>
      <c r="WN50" s="223"/>
    </row>
    <row r="51" spans="1:612" s="220" customFormat="1" ht="18.75" customHeight="1" x14ac:dyDescent="0.25">
      <c r="B51" s="239"/>
      <c r="C51" s="239"/>
      <c r="D51" s="239"/>
      <c r="E51" s="239"/>
      <c r="AI51" s="1249"/>
      <c r="AJ51" s="1249"/>
      <c r="AK51" s="239"/>
      <c r="AL51" s="239"/>
      <c r="AM51" s="239"/>
      <c r="AN51" s="239"/>
      <c r="AO51" s="239"/>
      <c r="AP51" s="239"/>
      <c r="AQ51" s="239"/>
      <c r="AR51" s="239"/>
      <c r="AS51" s="239"/>
      <c r="AT51" s="239"/>
      <c r="AU51" s="239"/>
      <c r="AV51" s="239"/>
      <c r="AW51" s="239"/>
      <c r="AX51" s="239"/>
      <c r="AY51" s="239"/>
      <c r="AZ51" s="239"/>
      <c r="BA51" s="239"/>
      <c r="BB51" s="239"/>
      <c r="BC51" s="239"/>
      <c r="BD51" s="239"/>
      <c r="BE51" s="239"/>
      <c r="BF51" s="239"/>
      <c r="BG51" s="239"/>
      <c r="BH51" s="239"/>
      <c r="BI51" s="239"/>
      <c r="BJ51" s="239"/>
      <c r="BK51" s="239"/>
      <c r="BL51" s="239"/>
      <c r="BM51" s="239"/>
      <c r="BN51" s="239"/>
      <c r="BO51" s="239"/>
      <c r="BP51" s="239"/>
      <c r="BQ51" s="239"/>
      <c r="BR51" s="239"/>
      <c r="BS51" s="239"/>
      <c r="BT51" s="239"/>
      <c r="BU51" s="239"/>
      <c r="BV51"/>
      <c r="BW51" s="239"/>
      <c r="BX51" s="239"/>
      <c r="BY51" s="239"/>
      <c r="BZ51"/>
      <c r="CA51" s="239"/>
      <c r="CB51" s="239"/>
      <c r="CC51" s="239"/>
      <c r="CD51"/>
      <c r="CE51" s="239"/>
      <c r="CF51" s="239"/>
      <c r="CG51" s="239"/>
      <c r="CH51"/>
      <c r="CI51" s="239"/>
      <c r="CJ51" s="239"/>
      <c r="CK51" s="239"/>
      <c r="CL51" s="239"/>
      <c r="CM51" s="239"/>
      <c r="CN51" s="239"/>
      <c r="CO51" s="239"/>
      <c r="CP51" s="239"/>
      <c r="DG51" s="1259"/>
      <c r="DH51" s="1259"/>
      <c r="DI51" s="1259"/>
      <c r="DJ51" s="1259"/>
      <c r="DK51" s="1259"/>
      <c r="DL51" s="1259"/>
      <c r="EI51" s="239"/>
      <c r="EJ51" s="239"/>
      <c r="EK51" s="239"/>
      <c r="EL51" s="239"/>
      <c r="EM51" s="239"/>
      <c r="EN51" s="239"/>
      <c r="EO51" s="239"/>
      <c r="EP51" s="239"/>
      <c r="EQ51" s="239"/>
      <c r="ER51" s="239"/>
      <c r="ES51" s="239"/>
      <c r="ET51" s="239"/>
      <c r="EU51" s="239"/>
      <c r="EV51" s="239"/>
      <c r="EW51" s="239"/>
      <c r="EX51" s="239"/>
      <c r="EY51" s="239"/>
      <c r="EZ51" s="239"/>
      <c r="FA51" s="239"/>
      <c r="FB51" s="239"/>
      <c r="FC51" s="239"/>
      <c r="FD51" s="239"/>
      <c r="FK51" s="1136"/>
      <c r="FL51" s="1136"/>
      <c r="FM51" s="1136"/>
      <c r="FN51" s="1136"/>
      <c r="FO51" s="1136"/>
      <c r="FP51" s="1136"/>
      <c r="FQ51" s="1298"/>
      <c r="FR51" s="1298"/>
      <c r="FS51" s="1298"/>
      <c r="FT51" s="1298"/>
      <c r="FU51" s="1298"/>
      <c r="FV51" s="1298"/>
      <c r="FW51" s="1298"/>
      <c r="FX51" s="1298"/>
      <c r="FY51" s="1298"/>
      <c r="FZ51" s="1298"/>
      <c r="GA51" s="1392"/>
      <c r="GB51" s="1392"/>
      <c r="GC51" s="1392"/>
      <c r="GD51" s="1392"/>
      <c r="GE51" s="1392"/>
      <c r="GF51" s="1392"/>
      <c r="GG51" s="1244"/>
      <c r="GH51" s="1371"/>
      <c r="GI51" s="1371"/>
      <c r="GJ51" s="1244"/>
      <c r="GK51" s="1244"/>
      <c r="GL51" s="1244"/>
      <c r="GM51" s="1371"/>
      <c r="GN51" s="1371"/>
      <c r="GO51" s="1244"/>
      <c r="GP51" s="1244"/>
      <c r="GQ51" s="1244"/>
      <c r="GR51" s="1371"/>
      <c r="GS51" s="1371"/>
      <c r="GT51" s="1244"/>
      <c r="GU51" s="1244"/>
      <c r="GV51" s="1244"/>
      <c r="GW51" s="1371"/>
      <c r="GX51" s="1371"/>
      <c r="GY51" s="1244"/>
      <c r="GZ51" s="1244"/>
      <c r="HA51" s="1244"/>
      <c r="HB51" s="1371"/>
      <c r="HC51" s="1371"/>
      <c r="HD51" s="1244"/>
      <c r="HE51" s="1244"/>
      <c r="HF51" s="1244"/>
      <c r="HG51" s="1371"/>
      <c r="HH51" s="1371"/>
      <c r="HI51" s="1244"/>
      <c r="HJ51" s="1244"/>
      <c r="HK51" s="1244"/>
      <c r="HL51" s="1371"/>
      <c r="HM51" s="1371"/>
      <c r="HN51" s="1244"/>
      <c r="HO51" s="1244"/>
      <c r="HP51" s="1244"/>
      <c r="HQ51" s="1371"/>
      <c r="HR51" s="1371"/>
      <c r="HS51" s="1244"/>
      <c r="HT51" s="1244"/>
      <c r="HU51" s="1478"/>
      <c r="HV51" s="1478"/>
      <c r="HW51" s="1478"/>
      <c r="HX51" s="1478"/>
      <c r="HY51" s="1478"/>
      <c r="HZ51" s="1478"/>
      <c r="IA51" s="1590"/>
      <c r="IB51" s="1590"/>
      <c r="IC51" s="1590"/>
      <c r="ID51" s="1590"/>
      <c r="IE51" s="1590"/>
      <c r="IF51" s="1590"/>
      <c r="IM51" s="239"/>
      <c r="IN51" s="239"/>
      <c r="IO51" s="239"/>
      <c r="IP51" s="239"/>
      <c r="IQ51" s="239"/>
      <c r="IR51" s="239"/>
      <c r="IS51" s="239"/>
      <c r="IT51" s="239"/>
      <c r="IU51" s="239"/>
      <c r="IV51" s="239"/>
      <c r="IW51" s="239"/>
      <c r="IX51" s="239"/>
      <c r="JK51" s="1222"/>
      <c r="JL51" s="1222"/>
      <c r="JM51" s="1222"/>
      <c r="JN51" s="1222"/>
      <c r="JO51" s="1222"/>
      <c r="JP51" s="1222"/>
      <c r="KK51" s="246"/>
      <c r="KL51" s="246"/>
      <c r="KM51" s="246"/>
      <c r="KN51" s="246"/>
      <c r="KO51" s="246"/>
      <c r="KP51" s="246"/>
      <c r="KQ51" s="246"/>
      <c r="KR51" s="246"/>
      <c r="KS51" s="246"/>
      <c r="KT51" s="246"/>
      <c r="KU51" s="246"/>
      <c r="KV51" s="246"/>
      <c r="KW51" s="246"/>
      <c r="KX51" s="246"/>
      <c r="KY51" s="246"/>
      <c r="KZ51" s="246"/>
      <c r="LA51" s="246"/>
      <c r="LB51" s="246"/>
      <c r="LC51" s="246"/>
      <c r="LD51" s="246"/>
      <c r="LE51" s="225"/>
      <c r="LF51" s="225"/>
      <c r="LG51" s="225"/>
      <c r="LH51" s="225"/>
      <c r="LI51" s="225"/>
      <c r="LJ51" s="225"/>
      <c r="LK51" s="225"/>
      <c r="LL51" s="225"/>
      <c r="LM51"/>
      <c r="LN51"/>
      <c r="LO51"/>
      <c r="LP51"/>
      <c r="LQ51"/>
      <c r="LR51"/>
      <c r="LS51"/>
      <c r="LT51" s="239"/>
      <c r="LU51" s="239"/>
      <c r="LV51"/>
      <c r="LW51"/>
      <c r="LX51"/>
      <c r="LY51" s="239"/>
      <c r="LZ51" s="239"/>
      <c r="MA51"/>
      <c r="MB51"/>
      <c r="MC51"/>
      <c r="MD51"/>
      <c r="ME51"/>
      <c r="MF51"/>
      <c r="MG51"/>
      <c r="MH51"/>
      <c r="MI51"/>
      <c r="MJ51"/>
      <c r="MK51"/>
      <c r="ML51"/>
      <c r="MP51" s="1235"/>
      <c r="MT51" s="1235"/>
      <c r="MX51" s="1235"/>
      <c r="NB51" s="1235"/>
      <c r="NF51" s="1235"/>
      <c r="NJ51" s="1235"/>
      <c r="NN51" s="1235"/>
      <c r="NR51" s="1235"/>
      <c r="NS51" s="1626"/>
      <c r="NT51" s="1626"/>
      <c r="NU51" s="1626"/>
      <c r="NV51" s="1626"/>
      <c r="NW51" s="1626"/>
      <c r="NX51" s="1626"/>
      <c r="NY51" s="239"/>
      <c r="NZ51" s="239"/>
      <c r="OA51" s="239"/>
      <c r="OB51" s="239"/>
      <c r="OC51" s="239"/>
      <c r="OD51" s="239"/>
      <c r="OE51" s="239"/>
      <c r="OF51" s="239"/>
      <c r="OG51" s="239"/>
      <c r="OH51" s="239"/>
      <c r="OI51" s="239"/>
      <c r="OJ51" s="239"/>
      <c r="OK51" s="239"/>
      <c r="OL51" s="239"/>
      <c r="OM51" s="239"/>
      <c r="ON51" s="239"/>
      <c r="OO51" s="239"/>
      <c r="OP51" s="239"/>
      <c r="OQ51" s="239"/>
      <c r="OR51" s="239"/>
      <c r="OS51" s="239"/>
      <c r="OT51" s="239"/>
      <c r="OU51" s="239"/>
      <c r="OV51" s="239"/>
      <c r="OW51" s="239"/>
      <c r="OX51" s="239"/>
      <c r="OY51" s="239"/>
      <c r="OZ51" s="239"/>
      <c r="PA51" s="239"/>
      <c r="PB51" s="239"/>
      <c r="PC51" s="239"/>
      <c r="PD51" s="239"/>
      <c r="PE51" s="239"/>
      <c r="PF51" s="239"/>
      <c r="PG51" s="239"/>
      <c r="PH51" s="239"/>
      <c r="PI51" s="239"/>
      <c r="PJ51" s="239"/>
      <c r="PK51" s="239"/>
      <c r="PL51" s="239"/>
      <c r="PM51" s="239"/>
      <c r="PN51" s="239"/>
      <c r="PO51" s="1146"/>
      <c r="PP51" s="1146"/>
      <c r="PQ51" s="1146"/>
      <c r="PR51" s="1146"/>
      <c r="PS51" s="1146"/>
      <c r="PT51" s="1146"/>
      <c r="PU51" s="239"/>
      <c r="PV51" s="239"/>
      <c r="PW51" s="239"/>
      <c r="PX51" s="239"/>
      <c r="PY51" s="239"/>
      <c r="PZ51" s="239"/>
      <c r="QA51" s="239"/>
      <c r="QB51" s="239"/>
      <c r="QC51" s="239"/>
      <c r="QD51" s="239"/>
      <c r="QE51" s="239"/>
      <c r="QF51" s="239"/>
      <c r="QG51" s="239"/>
      <c r="QH51" s="239"/>
      <c r="QI51" s="239"/>
      <c r="QJ51" s="239"/>
      <c r="QK51" s="239"/>
      <c r="QL51" s="239"/>
      <c r="QM51" s="239"/>
      <c r="QN51" s="239"/>
      <c r="QO51" s="239"/>
      <c r="QP51" s="239"/>
      <c r="QQ51" s="239"/>
      <c r="QR51" s="239"/>
      <c r="RW51" s="1235"/>
      <c r="RX51" s="1235"/>
      <c r="SA51" s="1643"/>
      <c r="SD51" s="1249"/>
      <c r="SE51" s="1643"/>
      <c r="SF51" s="1249"/>
      <c r="SG51" s="1249"/>
      <c r="SH51" s="1249"/>
      <c r="SI51" s="239"/>
      <c r="SJ51" s="239"/>
      <c r="SK51" s="239"/>
      <c r="SL51" s="239"/>
      <c r="SM51" s="239"/>
      <c r="SN51" s="239"/>
      <c r="SO51" s="239"/>
      <c r="SP51" s="239"/>
      <c r="SQ51" s="239"/>
      <c r="SR51" s="239"/>
      <c r="SS51" s="239"/>
      <c r="ST51" s="239"/>
      <c r="SU51" s="239"/>
      <c r="SV51" s="239"/>
      <c r="SW51" s="239"/>
      <c r="SX51" s="239"/>
      <c r="SY51" s="239"/>
      <c r="SZ51" s="239"/>
      <c r="TA51" s="239"/>
      <c r="TB51" s="239"/>
      <c r="TC51" s="239"/>
      <c r="TD51" s="239"/>
      <c r="TE51" s="239"/>
      <c r="TF51" s="239"/>
      <c r="TG51" s="239"/>
      <c r="TH51" s="239"/>
      <c r="TI51" s="239"/>
      <c r="TJ51" s="239"/>
      <c r="TK51" s="239"/>
      <c r="TL51" s="239"/>
      <c r="TM51" s="239"/>
      <c r="TN51" s="239"/>
      <c r="TO51" s="239"/>
      <c r="TP51" s="239"/>
      <c r="TQ51" s="239"/>
      <c r="TR51" s="239"/>
      <c r="TS51" s="239"/>
      <c r="TT51" s="239"/>
      <c r="TU51" s="239"/>
      <c r="TV51" s="239"/>
      <c r="TW51" s="239"/>
      <c r="TX51" s="239"/>
      <c r="TY51" s="239"/>
      <c r="TZ51" s="239"/>
      <c r="UA51" s="239"/>
      <c r="UB51" s="239"/>
      <c r="UC51" s="239"/>
      <c r="UD51" s="239"/>
      <c r="UE51" s="239"/>
      <c r="UF51" s="239"/>
      <c r="UG51" s="239"/>
      <c r="UH51" s="239"/>
      <c r="UI51" s="239"/>
      <c r="UJ51" s="239"/>
      <c r="UK51" s="239"/>
      <c r="UL51" s="239"/>
      <c r="UM51" s="239"/>
      <c r="UN51" s="239"/>
      <c r="UO51" s="239"/>
      <c r="UP51" s="239"/>
      <c r="UQ51" s="239"/>
      <c r="UR51" s="239"/>
      <c r="US51" s="239"/>
      <c r="UT51" s="239"/>
      <c r="UU51" s="239"/>
      <c r="UV51" s="239"/>
      <c r="UW51" s="239"/>
      <c r="UX51" s="239"/>
      <c r="UY51" s="239"/>
      <c r="UZ51" s="239"/>
      <c r="VB51" s="1601"/>
      <c r="VC51" s="1601"/>
      <c r="VD51" s="1601"/>
      <c r="VF51" s="1601"/>
      <c r="VG51" s="1601"/>
      <c r="VH51" s="1601"/>
    </row>
    <row r="52" spans="1:612" x14ac:dyDescent="0.25">
      <c r="KK52" s="220"/>
      <c r="KL52" s="220"/>
      <c r="KM52" s="220"/>
      <c r="KN52" s="220"/>
      <c r="KO52" s="220"/>
      <c r="KP52" s="220"/>
      <c r="KQ52" s="220"/>
      <c r="KR52" s="220"/>
      <c r="KS52" s="220"/>
      <c r="KT52" s="220"/>
      <c r="KU52" s="220"/>
      <c r="KV52" s="220"/>
      <c r="KW52" s="220"/>
      <c r="KX52" s="220"/>
      <c r="KY52" s="220"/>
      <c r="KZ52" s="220"/>
      <c r="LA52" s="220"/>
      <c r="LB52" s="220"/>
      <c r="LC52" s="220"/>
      <c r="LD52" s="220"/>
      <c r="LE52" s="225"/>
      <c r="LF52" s="225"/>
      <c r="LG52" s="225"/>
      <c r="LH52" s="225"/>
      <c r="LI52" s="225"/>
      <c r="LJ52" s="225"/>
      <c r="LK52" s="225"/>
      <c r="LL52" s="225"/>
    </row>
    <row r="53" spans="1:612" s="1014" customFormat="1" ht="33.6" x14ac:dyDescent="0.3">
      <c r="A53" s="1199" t="s">
        <v>316</v>
      </c>
      <c r="B53" s="1010">
        <f>CQ53+CY53+DM53+IG53+IM53+JQ53+KA53+'План и исполнение'!LE53+'Прочая  субсидия_МР  и  ГО'!B42+BS53+CA53+AK53+AU53+JK53+DG53</f>
        <v>2221266556.23</v>
      </c>
      <c r="C53" s="1010">
        <f>CR53+CZ53+DU53+IJ53+IP53+JV53+KF53+'План и исполнение'!LK53+'Прочая  субсидия_МР  и  ГО'!C42+BW53+CE53+AY53+AP53+JN53+DJ53</f>
        <v>1074624976.4400001</v>
      </c>
      <c r="D53" s="1179">
        <f>B53/1000</f>
        <v>2221266.5562300002</v>
      </c>
      <c r="E53" s="1179">
        <f>C53/1000</f>
        <v>1074624.9764400001</v>
      </c>
      <c r="F53" s="223"/>
      <c r="G53" s="223"/>
      <c r="H53" s="223"/>
      <c r="I53" s="223"/>
      <c r="J53" s="223"/>
      <c r="K53" s="223"/>
      <c r="L53" s="223"/>
      <c r="M53" s="223"/>
      <c r="N53" s="223"/>
      <c r="O53" s="223"/>
      <c r="P53" s="223"/>
      <c r="Q53" s="223"/>
      <c r="R53" s="223"/>
      <c r="S53" s="223"/>
      <c r="T53" s="223"/>
      <c r="U53" s="223"/>
      <c r="V53" s="223"/>
      <c r="W53" s="223"/>
      <c r="X53" s="223"/>
      <c r="Y53" s="223"/>
      <c r="Z53" s="223"/>
      <c r="AA53" s="223"/>
      <c r="AB53" s="223"/>
      <c r="AC53" s="223"/>
      <c r="AD53" s="223"/>
      <c r="AE53" s="223"/>
      <c r="AF53" s="223"/>
      <c r="AG53" s="223"/>
      <c r="AH53" s="223"/>
      <c r="AI53" s="223"/>
      <c r="AJ53" s="223"/>
      <c r="AK53" s="907">
        <f t="shared" ref="AK53:AK61" si="562">SUM(AL53:AO53)</f>
        <v>8436447.2800000012</v>
      </c>
      <c r="AL53" s="1017">
        <f>AL37</f>
        <v>0</v>
      </c>
      <c r="AM53" s="223"/>
      <c r="AN53" s="223"/>
      <c r="AO53" s="1017">
        <f>AO37</f>
        <v>8436447.2800000012</v>
      </c>
      <c r="AP53" s="907">
        <f t="shared" ref="AP53:AP61" si="563">SUM(AQ53:AT53)</f>
        <v>0</v>
      </c>
      <c r="AQ53" s="1017">
        <f>AQ37</f>
        <v>0</v>
      </c>
      <c r="AR53" s="223"/>
      <c r="AS53" s="223"/>
      <c r="AT53" s="1017">
        <f t="shared" ref="AT53" si="564">AT37</f>
        <v>0</v>
      </c>
      <c r="AU53" s="907">
        <f t="shared" ref="AU53:AU61" si="565">SUM(AV53:AX53)</f>
        <v>63679506.950000003</v>
      </c>
      <c r="AV53" s="1017">
        <f>AV37</f>
        <v>63679506.950000003</v>
      </c>
      <c r="AW53" s="223"/>
      <c r="AX53" s="1017">
        <f t="shared" ref="AX53" si="566">AX37</f>
        <v>0</v>
      </c>
      <c r="AY53" s="907">
        <f t="shared" ref="AY53:AY61" si="567">SUM(AZ53:BB53)</f>
        <v>23548313.280000001</v>
      </c>
      <c r="AZ53" s="1017">
        <f>AZ37</f>
        <v>23548313.280000001</v>
      </c>
      <c r="BA53" s="223"/>
      <c r="BB53" s="1017">
        <f>BB37</f>
        <v>0</v>
      </c>
      <c r="BC53" s="223"/>
      <c r="BD53" s="223"/>
      <c r="BE53" s="223"/>
      <c r="BF53" s="223"/>
      <c r="BG53" s="223"/>
      <c r="BH53" s="223"/>
      <c r="BI53" s="223"/>
      <c r="BJ53" s="223"/>
      <c r="BK53" s="223"/>
      <c r="BL53" s="223"/>
      <c r="BM53" s="223"/>
      <c r="BN53" s="223"/>
      <c r="BO53" s="223"/>
      <c r="BP53" s="223"/>
      <c r="BQ53" s="223"/>
      <c r="BR53" s="223"/>
      <c r="BS53" s="225">
        <f>BT37</f>
        <v>107563353.95</v>
      </c>
      <c r="BT53" s="223"/>
      <c r="BU53" s="223"/>
      <c r="BV53"/>
      <c r="BW53" s="225">
        <f>BX37</f>
        <v>7854995.9299999997</v>
      </c>
      <c r="BX53" s="223"/>
      <c r="BY53" s="223"/>
      <c r="BZ53"/>
      <c r="CA53" s="225">
        <f>CB37</f>
        <v>59445206.030000001</v>
      </c>
      <c r="CB53" s="223"/>
      <c r="CC53" s="223"/>
      <c r="CD53"/>
      <c r="CE53" s="225">
        <f>CF37</f>
        <v>673915.95</v>
      </c>
      <c r="CF53" s="223"/>
      <c r="CG53" s="223"/>
      <c r="CH53"/>
      <c r="CI53" s="223"/>
      <c r="CJ53" s="223"/>
      <c r="CK53" s="223"/>
      <c r="CL53" s="223"/>
      <c r="CM53" s="223"/>
      <c r="CN53" s="223"/>
      <c r="CO53" s="223"/>
      <c r="CP53" s="223"/>
      <c r="CQ53" s="225">
        <f>CQ38</f>
        <v>540305661.38999999</v>
      </c>
      <c r="CR53" s="225">
        <f>CR38</f>
        <v>316742204.18000001</v>
      </c>
      <c r="CS53" s="223"/>
      <c r="CT53" s="223"/>
      <c r="CU53" s="223"/>
      <c r="CV53" s="223"/>
      <c r="CW53" s="223"/>
      <c r="CX53" s="223"/>
      <c r="CY53" s="225">
        <f>CY38</f>
        <v>127262338.51999998</v>
      </c>
      <c r="CZ53" s="225">
        <f>CZ38</f>
        <v>46318201.860000007</v>
      </c>
      <c r="DA53" s="223"/>
      <c r="DB53" s="223"/>
      <c r="DC53" s="223"/>
      <c r="DD53" s="223"/>
      <c r="DE53" s="223"/>
      <c r="DF53" s="223"/>
      <c r="DG53" s="907">
        <f>DG37</f>
        <v>624092893.42999995</v>
      </c>
      <c r="DH53" s="1270"/>
      <c r="DI53" s="1270"/>
      <c r="DJ53" s="907">
        <f>DJ37</f>
        <v>135026743.69</v>
      </c>
      <c r="DK53" s="1270"/>
      <c r="DL53" s="1270"/>
      <c r="DM53" s="225">
        <f>DM37</f>
        <v>23989221.439999998</v>
      </c>
      <c r="DN53" s="223"/>
      <c r="DO53" s="223"/>
      <c r="DP53" s="223"/>
      <c r="DQ53" s="223"/>
      <c r="DR53" s="223"/>
      <c r="DS53" s="223"/>
      <c r="DT53" s="223"/>
      <c r="DU53" s="225">
        <f>DU37</f>
        <v>2059305.2</v>
      </c>
      <c r="DV53" s="223"/>
      <c r="DW53" s="223"/>
      <c r="DX53" s="223"/>
      <c r="DY53" s="223"/>
      <c r="DZ53" s="223"/>
      <c r="EA53" s="223"/>
      <c r="EB53" s="223"/>
      <c r="EC53" s="223"/>
      <c r="ED53" s="223"/>
      <c r="EE53" s="223"/>
      <c r="EF53" s="223"/>
      <c r="EG53" s="223"/>
      <c r="EH53" s="223"/>
      <c r="EI53" s="225"/>
      <c r="EJ53" s="225"/>
      <c r="EK53" s="225"/>
      <c r="EL53" s="225"/>
      <c r="EM53" s="225"/>
      <c r="EN53" s="225"/>
      <c r="EO53" s="225"/>
      <c r="EP53" s="225"/>
      <c r="EQ53" s="225"/>
      <c r="ER53" s="225"/>
      <c r="ES53" s="225"/>
      <c r="ET53" s="225"/>
      <c r="EU53" s="225"/>
      <c r="EV53" s="225"/>
      <c r="EW53" s="225"/>
      <c r="EX53" s="225"/>
      <c r="EY53" s="225"/>
      <c r="EZ53" s="225"/>
      <c r="FA53" s="225"/>
      <c r="FB53" s="225"/>
      <c r="FC53" s="225"/>
      <c r="FD53" s="225"/>
      <c r="FE53" s="223"/>
      <c r="FF53" s="223"/>
      <c r="FG53" s="223"/>
      <c r="FH53" s="223"/>
      <c r="FI53" s="223"/>
      <c r="FJ53" s="223"/>
      <c r="FK53" s="223"/>
      <c r="FL53" s="223"/>
      <c r="FM53" s="223"/>
      <c r="FN53" s="223"/>
      <c r="FO53" s="223"/>
      <c r="FP53" s="223"/>
      <c r="FQ53" s="223"/>
      <c r="FR53" s="223"/>
      <c r="FS53" s="223"/>
      <c r="FT53" s="223"/>
      <c r="FU53" s="223"/>
      <c r="FV53" s="223"/>
      <c r="FW53" s="223"/>
      <c r="FX53" s="223"/>
      <c r="FY53" s="223"/>
      <c r="FZ53" s="223"/>
      <c r="GA53" s="223"/>
      <c r="GB53" s="223"/>
      <c r="GC53" s="223"/>
      <c r="GD53" s="223"/>
      <c r="GE53" s="223"/>
      <c r="GF53" s="223"/>
      <c r="GG53" s="223"/>
      <c r="GH53" s="223"/>
      <c r="GI53" s="223"/>
      <c r="GJ53" s="223"/>
      <c r="GK53" s="223"/>
      <c r="GL53" s="223"/>
      <c r="GM53" s="223"/>
      <c r="GN53" s="223"/>
      <c r="GO53" s="223"/>
      <c r="GP53" s="223"/>
      <c r="GQ53" s="223"/>
      <c r="GR53" s="223"/>
      <c r="GS53" s="223"/>
      <c r="GT53" s="223"/>
      <c r="GU53" s="223"/>
      <c r="GV53" s="223"/>
      <c r="GW53" s="223"/>
      <c r="GX53" s="223"/>
      <c r="GY53" s="223"/>
      <c r="GZ53" s="223"/>
      <c r="HA53" s="223"/>
      <c r="HB53" s="223"/>
      <c r="HC53" s="223"/>
      <c r="HD53" s="223"/>
      <c r="HE53" s="223"/>
      <c r="HF53" s="223"/>
      <c r="HG53" s="223"/>
      <c r="HH53" s="223"/>
      <c r="HI53" s="223"/>
      <c r="HJ53" s="223"/>
      <c r="HK53" s="223"/>
      <c r="HL53" s="223"/>
      <c r="HM53" s="223"/>
      <c r="HN53" s="223"/>
      <c r="HO53" s="223"/>
      <c r="HP53" s="223"/>
      <c r="HQ53" s="223"/>
      <c r="HR53" s="223"/>
      <c r="HS53" s="223"/>
      <c r="HT53" s="223"/>
      <c r="HU53" s="223"/>
      <c r="HV53" s="223"/>
      <c r="HW53" s="223"/>
      <c r="HX53" s="223"/>
      <c r="HY53" s="223"/>
      <c r="HZ53" s="223"/>
      <c r="IA53" s="223"/>
      <c r="IB53" s="223"/>
      <c r="IC53" s="223"/>
      <c r="ID53" s="223"/>
      <c r="IE53" s="223"/>
      <c r="IF53" s="223"/>
      <c r="IG53" s="225">
        <f>IG37</f>
        <v>5672500</v>
      </c>
      <c r="IH53" s="223"/>
      <c r="II53" s="223"/>
      <c r="IJ53" s="225">
        <f>IJ37</f>
        <v>3566912.97</v>
      </c>
      <c r="IK53" s="223"/>
      <c r="IL53" s="223"/>
      <c r="IM53" s="225">
        <f>IM38</f>
        <v>26178800.000000004</v>
      </c>
      <c r="IN53" s="225"/>
      <c r="IO53" s="225"/>
      <c r="IP53" s="225">
        <f>IP38</f>
        <v>18511192.82</v>
      </c>
      <c r="IQ53" s="225"/>
      <c r="IR53" s="225"/>
      <c r="IS53" s="223"/>
      <c r="IT53" s="223"/>
      <c r="IU53" s="223"/>
      <c r="IV53" s="223"/>
      <c r="IW53" s="223"/>
      <c r="IX53" s="223"/>
      <c r="JK53" s="907">
        <f t="shared" ref="JK53:JK61" si="568">SUM(JL53:JM53)</f>
        <v>93825120</v>
      </c>
      <c r="JL53" s="1008">
        <f t="shared" ref="JL53" si="569">JL37+JM37</f>
        <v>93825120</v>
      </c>
      <c r="JN53" s="907">
        <f t="shared" ref="JN53:JN61" si="570">SUM(JO53:JP53)</f>
        <v>38738988.590000004</v>
      </c>
      <c r="JO53" s="1008">
        <f t="shared" ref="JO53" si="571">JO37+JP37</f>
        <v>38738988.590000004</v>
      </c>
      <c r="JQ53" s="1015">
        <f>SUM(JR53:JU53)</f>
        <v>0</v>
      </c>
      <c r="JR53" s="223"/>
      <c r="JS53" s="223"/>
      <c r="JT53" s="223"/>
      <c r="JU53" s="223"/>
      <c r="JV53" s="1015">
        <f>SUM(JW53:JZ53)</f>
        <v>0</v>
      </c>
      <c r="JW53" s="223"/>
      <c r="JX53" s="223"/>
      <c r="JY53" s="223"/>
      <c r="JZ53" s="223"/>
      <c r="KA53" s="1015">
        <f>SUM(KB53:KE53)</f>
        <v>0</v>
      </c>
      <c r="KB53" s="223"/>
      <c r="KC53" s="223"/>
      <c r="KD53" s="223"/>
      <c r="KE53" s="223"/>
      <c r="KF53" s="1015">
        <f>SUM(KG53:KJ53)</f>
        <v>0</v>
      </c>
      <c r="KG53" s="223"/>
      <c r="KH53" s="223"/>
      <c r="KI53" s="223"/>
      <c r="KJ53" s="223"/>
      <c r="KK53" s="220"/>
      <c r="KL53" s="220"/>
      <c r="KM53" s="220"/>
      <c r="KN53" s="220"/>
      <c r="KO53" s="220"/>
      <c r="KP53" s="220"/>
      <c r="KQ53" s="220"/>
      <c r="KR53" s="220"/>
      <c r="KS53" s="220"/>
      <c r="KT53" s="220"/>
      <c r="KU53" s="220"/>
      <c r="KV53" s="220"/>
      <c r="KW53" s="220"/>
      <c r="KX53" s="220"/>
      <c r="KY53" s="220"/>
      <c r="KZ53" s="220"/>
      <c r="LA53" s="220"/>
      <c r="LB53" s="220"/>
      <c r="LC53" s="220"/>
      <c r="LD53" s="220"/>
      <c r="LE53" s="225">
        <f>LE37</f>
        <v>513298723.05000001</v>
      </c>
      <c r="LF53" s="225"/>
      <c r="LG53" s="225"/>
      <c r="LH53" s="225"/>
      <c r="LI53" s="225"/>
      <c r="LJ53" s="225"/>
      <c r="LK53" s="225">
        <f>LK37</f>
        <v>477216763.84000003</v>
      </c>
      <c r="LL53" s="225"/>
      <c r="LM53"/>
      <c r="LN53"/>
      <c r="LO53"/>
      <c r="LP53"/>
      <c r="LQ53"/>
      <c r="LR53"/>
      <c r="LS53"/>
      <c r="LT53" s="225"/>
      <c r="LU53" s="225"/>
      <c r="LV53"/>
      <c r="LW53"/>
      <c r="LX53"/>
      <c r="LY53" s="225"/>
      <c r="LZ53" s="225"/>
      <c r="MA53"/>
      <c r="MB53"/>
      <c r="MC53"/>
      <c r="MD53"/>
      <c r="ME53"/>
      <c r="MF53"/>
      <c r="MG53"/>
      <c r="MH53"/>
      <c r="MI53"/>
      <c r="MJ53"/>
      <c r="MK53"/>
      <c r="ML53"/>
      <c r="MM53"/>
      <c r="MN53"/>
      <c r="MO53"/>
      <c r="MP53"/>
      <c r="MQ53"/>
      <c r="MR53"/>
      <c r="MS53"/>
      <c r="MT53"/>
      <c r="MU53"/>
      <c r="MV53"/>
      <c r="MW53"/>
      <c r="MX53"/>
      <c r="MY53"/>
      <c r="MZ53"/>
      <c r="NA53"/>
      <c r="NB53"/>
      <c r="NC53"/>
      <c r="ND53"/>
      <c r="NE53"/>
      <c r="NF53"/>
      <c r="NG53"/>
      <c r="NH53"/>
      <c r="NI53"/>
      <c r="NJ53"/>
      <c r="NK53"/>
      <c r="NL53"/>
      <c r="NM53"/>
      <c r="NN53"/>
      <c r="NO53"/>
      <c r="NP53"/>
      <c r="NQ53"/>
      <c r="NR53"/>
      <c r="NS53"/>
      <c r="NT53"/>
      <c r="NU53"/>
      <c r="NV53"/>
      <c r="NW53"/>
      <c r="NX53"/>
      <c r="NY53" s="225"/>
      <c r="NZ53" s="225"/>
      <c r="OA53" s="225"/>
      <c r="OB53" s="225"/>
      <c r="OC53" s="225"/>
      <c r="OD53" s="225"/>
      <c r="OE53" s="225"/>
      <c r="OF53" s="225"/>
      <c r="OG53" s="225"/>
      <c r="OH53" s="225"/>
      <c r="OI53" s="225"/>
      <c r="OJ53" s="225"/>
      <c r="OK53" s="225"/>
      <c r="OL53" s="225"/>
      <c r="OM53" s="225"/>
      <c r="ON53" s="225"/>
      <c r="OO53" s="225"/>
      <c r="OP53" s="225"/>
      <c r="OQ53" s="225"/>
      <c r="OR53" s="225"/>
      <c r="OS53" s="225"/>
      <c r="OT53" s="225"/>
      <c r="OU53" s="225"/>
      <c r="OV53" s="225"/>
      <c r="OW53" s="225"/>
      <c r="OX53" s="225"/>
      <c r="OY53" s="225"/>
      <c r="OZ53" s="225"/>
      <c r="PA53" s="225"/>
      <c r="PB53" s="225"/>
      <c r="PC53" s="225"/>
      <c r="PD53" s="225"/>
      <c r="PE53" s="225"/>
      <c r="PF53" s="225"/>
      <c r="PG53" s="225"/>
      <c r="PH53" s="225"/>
      <c r="PI53" s="225"/>
      <c r="PJ53" s="225"/>
      <c r="PK53" s="225"/>
      <c r="PL53" s="225"/>
      <c r="PM53" s="225"/>
      <c r="PN53" s="225"/>
      <c r="PO53" s="223"/>
      <c r="PP53" s="223"/>
      <c r="PQ53" s="223"/>
      <c r="PR53" s="223"/>
      <c r="PS53" s="223"/>
      <c r="PT53" s="223"/>
      <c r="PU53" s="225"/>
      <c r="PV53" s="225"/>
      <c r="PW53" s="225"/>
      <c r="PX53" s="225"/>
      <c r="PY53" s="225"/>
      <c r="PZ53" s="225"/>
      <c r="QA53" s="225"/>
      <c r="QB53" s="225"/>
      <c r="QC53" s="225"/>
      <c r="QD53" s="225"/>
      <c r="QE53" s="225"/>
      <c r="QF53" s="225"/>
      <c r="QG53" s="225"/>
      <c r="QH53" s="225"/>
      <c r="QI53" s="225"/>
      <c r="QJ53" s="225"/>
      <c r="QK53" s="225"/>
      <c r="QL53" s="225"/>
      <c r="QM53" s="225"/>
      <c r="QN53" s="225"/>
      <c r="QO53" s="225"/>
      <c r="QP53" s="225"/>
      <c r="QQ53" s="225"/>
      <c r="QR53" s="225"/>
      <c r="QS53" s="223"/>
      <c r="QT53" s="223"/>
      <c r="QU53" s="223"/>
      <c r="QV53" s="223"/>
      <c r="QW53" s="223"/>
      <c r="QX53" s="223"/>
      <c r="QY53" s="223"/>
      <c r="QZ53" s="223"/>
      <c r="RA53" s="223"/>
      <c r="RB53" s="223"/>
      <c r="RC53" s="223"/>
      <c r="RD53" s="223"/>
      <c r="RE53" s="223"/>
      <c r="RF53" s="223"/>
      <c r="RG53" s="223"/>
      <c r="RH53" s="223"/>
      <c r="RI53" s="223"/>
      <c r="RJ53" s="223"/>
      <c r="RK53" s="223"/>
      <c r="RL53" s="223"/>
      <c r="RM53" s="223"/>
      <c r="RN53" s="223"/>
      <c r="RO53" s="223"/>
      <c r="RP53" s="223"/>
      <c r="RQ53" s="223"/>
      <c r="RR53" s="223"/>
      <c r="RS53" s="223"/>
      <c r="RT53" s="223"/>
      <c r="RU53" s="223"/>
      <c r="RV53" s="223"/>
      <c r="RW53" s="223"/>
      <c r="RX53" s="223"/>
      <c r="RY53" s="223"/>
      <c r="RZ53" s="223"/>
      <c r="SA53" s="223"/>
      <c r="SB53" s="223"/>
      <c r="SC53" s="223"/>
      <c r="SD53" s="223"/>
      <c r="SE53" s="223"/>
      <c r="SF53" s="223"/>
      <c r="SG53" s="223"/>
      <c r="SH53" s="223"/>
      <c r="SI53" s="223"/>
      <c r="SJ53" s="223"/>
      <c r="SK53" s="223"/>
      <c r="SL53" s="223"/>
      <c r="SM53" s="223"/>
      <c r="SN53" s="223"/>
      <c r="SO53" s="223"/>
      <c r="SP53" s="223"/>
      <c r="SQ53" s="223"/>
      <c r="SR53" s="223"/>
      <c r="SS53" s="223"/>
      <c r="ST53" s="223"/>
      <c r="SU53" s="223"/>
      <c r="SV53" s="223"/>
      <c r="SW53" s="223"/>
      <c r="SX53" s="223"/>
      <c r="SY53" s="223"/>
      <c r="SZ53" s="223"/>
      <c r="TA53" s="223"/>
      <c r="TB53" s="223"/>
      <c r="TC53" s="223"/>
      <c r="TD53" s="223"/>
      <c r="TE53" s="223"/>
      <c r="TF53" s="223"/>
      <c r="TG53" s="223"/>
      <c r="TH53" s="223"/>
      <c r="TI53" s="223"/>
      <c r="TJ53" s="223"/>
      <c r="TK53" s="223"/>
      <c r="TL53" s="223"/>
      <c r="TM53" s="223"/>
      <c r="TN53" s="223"/>
      <c r="TO53" s="223"/>
      <c r="TP53" s="223"/>
      <c r="TQ53" s="223"/>
      <c r="TR53" s="223"/>
      <c r="TS53" s="223"/>
      <c r="TT53" s="223"/>
      <c r="TU53" s="223"/>
      <c r="TV53" s="223"/>
      <c r="TW53" s="223"/>
      <c r="TX53" s="223"/>
      <c r="TY53" s="223"/>
      <c r="TZ53" s="223"/>
      <c r="UA53" s="223"/>
      <c r="UB53" s="223"/>
      <c r="UC53" s="223"/>
      <c r="UD53" s="223"/>
      <c r="UE53" s="223"/>
      <c r="UF53" s="223"/>
      <c r="UG53" s="223"/>
      <c r="UH53" s="223"/>
      <c r="UI53" s="223"/>
      <c r="UJ53" s="223"/>
      <c r="UK53" s="223"/>
      <c r="UL53" s="223"/>
      <c r="UM53" s="223"/>
      <c r="UN53" s="223"/>
      <c r="UO53" s="223"/>
      <c r="UP53" s="223"/>
      <c r="UQ53" s="223"/>
      <c r="UR53" s="223"/>
      <c r="US53" s="223"/>
      <c r="UT53" s="223"/>
      <c r="UU53" s="223"/>
      <c r="UV53" s="223"/>
      <c r="UW53" s="223"/>
      <c r="UX53" s="223"/>
      <c r="UY53" s="223"/>
      <c r="UZ53" s="223"/>
      <c r="VA53" s="223"/>
      <c r="VB53" s="223"/>
      <c r="VC53" s="223"/>
      <c r="VD53" s="223"/>
      <c r="VE53" s="223"/>
      <c r="VF53" s="223"/>
      <c r="VG53" s="223"/>
      <c r="VH53" s="223"/>
      <c r="VI53" s="223"/>
      <c r="VJ53" s="223"/>
      <c r="VK53" s="223"/>
      <c r="VL53" s="223"/>
      <c r="VM53" s="223"/>
      <c r="VN53" s="223"/>
      <c r="VO53" s="223"/>
      <c r="VP53" s="223"/>
      <c r="VQ53" s="223"/>
      <c r="VR53" s="223"/>
      <c r="VS53" s="223"/>
      <c r="VT53" s="223"/>
      <c r="VU53" s="223"/>
      <c r="VV53" s="223"/>
      <c r="VW53" s="223"/>
      <c r="VX53" s="223"/>
      <c r="VY53" s="223"/>
      <c r="VZ53" s="223"/>
      <c r="WA53" s="223"/>
      <c r="WB53" s="223"/>
      <c r="WC53" s="223"/>
      <c r="WD53" s="223"/>
      <c r="WE53" s="223"/>
      <c r="WF53" s="223"/>
      <c r="WG53" s="223"/>
      <c r="WH53" s="223"/>
      <c r="WI53" s="223"/>
      <c r="WJ53" s="223"/>
      <c r="WK53" s="223"/>
      <c r="WL53" s="223"/>
      <c r="WM53" s="223"/>
      <c r="WN53" s="223"/>
    </row>
    <row r="54" spans="1:612" s="1014" customFormat="1" x14ac:dyDescent="0.3">
      <c r="A54" s="1200" t="s">
        <v>133</v>
      </c>
      <c r="B54" s="1010">
        <f>CQ54+CY54+DM54+IG54+IM54+JQ54+KA54+'План и исполнение'!LE54+'Прочая  субсидия_МР  и  ГО'!B43+BS54+CA54+AK54+AU54+JK54+DG54</f>
        <v>625436106.72000003</v>
      </c>
      <c r="C54" s="1010">
        <f>CR54+CZ54+DU54+IJ54+IP54+JV54+KF54+'План и исполнение'!LK54+'Прочая  субсидия_МР  и  ГО'!C43+BW54+CE54+AY54+AP54+JN54+DJ54</f>
        <v>435360773.41999996</v>
      </c>
      <c r="D54" s="1179">
        <f t="shared" ref="D54:E60" si="572">B54/1000</f>
        <v>625436.10672000004</v>
      </c>
      <c r="E54" s="1179">
        <f t="shared" si="572"/>
        <v>435360.77341999998</v>
      </c>
      <c r="F54" s="223"/>
      <c r="G54" s="223"/>
      <c r="H54" s="223"/>
      <c r="I54" s="223"/>
      <c r="J54" s="223"/>
      <c r="K54" s="223"/>
      <c r="L54" s="223"/>
      <c r="M54" s="223"/>
      <c r="N54" s="223"/>
      <c r="O54" s="223"/>
      <c r="P54" s="223"/>
      <c r="Q54" s="223"/>
      <c r="R54" s="223"/>
      <c r="S54" s="223"/>
      <c r="T54" s="223"/>
      <c r="U54" s="223"/>
      <c r="V54" s="223"/>
      <c r="W54" s="223"/>
      <c r="X54" s="223"/>
      <c r="Y54" s="223"/>
      <c r="Z54" s="223"/>
      <c r="AA54" s="223"/>
      <c r="AB54" s="223"/>
      <c r="AC54" s="223"/>
      <c r="AD54" s="223"/>
      <c r="AE54" s="223"/>
      <c r="AF54" s="223"/>
      <c r="AG54" s="223"/>
      <c r="AH54" s="223"/>
      <c r="AI54" s="223"/>
      <c r="AJ54" s="223"/>
      <c r="AK54" s="907">
        <f t="shared" si="562"/>
        <v>8436447.2800000012</v>
      </c>
      <c r="AL54" s="1017">
        <f>AL30</f>
        <v>0</v>
      </c>
      <c r="AM54" s="223"/>
      <c r="AN54" s="223"/>
      <c r="AO54" s="1017">
        <f>AO30</f>
        <v>8436447.2800000012</v>
      </c>
      <c r="AP54" s="907">
        <f t="shared" si="563"/>
        <v>0</v>
      </c>
      <c r="AQ54" s="1017">
        <f>AQ30</f>
        <v>0</v>
      </c>
      <c r="AR54" s="223"/>
      <c r="AS54" s="223"/>
      <c r="AT54" s="1017">
        <f t="shared" ref="AT54" si="573">AT30</f>
        <v>0</v>
      </c>
      <c r="AU54" s="907">
        <f t="shared" si="565"/>
        <v>0</v>
      </c>
      <c r="AV54" s="1017"/>
      <c r="AW54" s="223"/>
      <c r="AX54" s="1017"/>
      <c r="AY54" s="907">
        <f t="shared" si="567"/>
        <v>0</v>
      </c>
      <c r="AZ54" s="1017"/>
      <c r="BA54" s="223"/>
      <c r="BB54" s="1017"/>
      <c r="BC54" s="223"/>
      <c r="BD54" s="223"/>
      <c r="BE54" s="223"/>
      <c r="BF54" s="223"/>
      <c r="BG54" s="223"/>
      <c r="BH54" s="223"/>
      <c r="BI54" s="223"/>
      <c r="BJ54" s="223"/>
      <c r="BK54" s="223"/>
      <c r="BL54" s="223"/>
      <c r="BM54" s="223"/>
      <c r="BN54" s="223"/>
      <c r="BO54" s="223"/>
      <c r="BP54" s="223"/>
      <c r="BQ54" s="223"/>
      <c r="BR54" s="223"/>
      <c r="BS54" s="225">
        <f>BT30</f>
        <v>90022153.950000003</v>
      </c>
      <c r="BT54" s="223"/>
      <c r="BU54" s="223"/>
      <c r="BV54"/>
      <c r="BW54" s="225">
        <f>BX30</f>
        <v>7854995.9299999997</v>
      </c>
      <c r="BX54" s="223"/>
      <c r="BY54" s="223"/>
      <c r="BZ54"/>
      <c r="CA54" s="225"/>
      <c r="CB54" s="223"/>
      <c r="CC54" s="223"/>
      <c r="CD54"/>
      <c r="CE54" s="225"/>
      <c r="CF54" s="223"/>
      <c r="CG54" s="223"/>
      <c r="CH54"/>
      <c r="CI54" s="223"/>
      <c r="CJ54" s="223"/>
      <c r="CK54" s="223"/>
      <c r="CL54" s="223"/>
      <c r="CM54" s="223"/>
      <c r="CN54" s="223"/>
      <c r="CO54" s="223"/>
      <c r="CP54" s="223"/>
      <c r="CQ54" s="225">
        <f>CQ30</f>
        <v>35043774.009999998</v>
      </c>
      <c r="CR54" s="225">
        <f>CR30</f>
        <v>11992573.129999999</v>
      </c>
      <c r="CS54" s="223"/>
      <c r="CT54" s="223"/>
      <c r="CU54" s="223"/>
      <c r="CV54" s="223"/>
      <c r="CW54" s="223"/>
      <c r="CX54" s="223"/>
      <c r="CY54" s="225">
        <f>CY30</f>
        <v>12856597.6</v>
      </c>
      <c r="CZ54" s="225">
        <f>CZ30</f>
        <v>3934844.5900000003</v>
      </c>
      <c r="DA54" s="223"/>
      <c r="DB54" s="223"/>
      <c r="DC54" s="223"/>
      <c r="DD54" s="223"/>
      <c r="DE54" s="223"/>
      <c r="DF54" s="223"/>
      <c r="DG54" s="907">
        <f>DG30</f>
        <v>0</v>
      </c>
      <c r="DH54" s="1270"/>
      <c r="DI54" s="1270"/>
      <c r="DJ54" s="907">
        <f>DJ30</f>
        <v>0</v>
      </c>
      <c r="DK54" s="1270"/>
      <c r="DL54" s="1270"/>
      <c r="DM54" s="225">
        <f>DM30</f>
        <v>8989221.4399999995</v>
      </c>
      <c r="DN54" s="223"/>
      <c r="DO54" s="223"/>
      <c r="DP54" s="223"/>
      <c r="DQ54" s="223"/>
      <c r="DR54" s="223"/>
      <c r="DS54" s="223"/>
      <c r="DT54" s="223"/>
      <c r="DU54" s="225">
        <f>DU30</f>
        <v>1999671.94</v>
      </c>
      <c r="DV54" s="223"/>
      <c r="DW54" s="223"/>
      <c r="DX54" s="223"/>
      <c r="DY54" s="223"/>
      <c r="DZ54" s="223"/>
      <c r="EA54" s="223"/>
      <c r="EB54" s="223"/>
      <c r="EC54" s="223"/>
      <c r="ED54" s="223"/>
      <c r="EE54" s="223"/>
      <c r="EF54" s="223"/>
      <c r="EG54" s="223"/>
      <c r="EH54" s="223"/>
      <c r="EI54" s="223"/>
      <c r="EJ54" s="223"/>
      <c r="EK54" s="223"/>
      <c r="EL54" s="223"/>
      <c r="EM54" s="223"/>
      <c r="EN54" s="223"/>
      <c r="EO54" s="223"/>
      <c r="EP54" s="223"/>
      <c r="EQ54" s="223"/>
      <c r="ER54" s="223"/>
      <c r="ES54" s="223"/>
      <c r="ET54" s="223"/>
      <c r="EU54" s="223"/>
      <c r="EV54" s="223"/>
      <c r="EW54" s="223"/>
      <c r="EX54" s="223"/>
      <c r="EY54" s="223"/>
      <c r="EZ54" s="223"/>
      <c r="FA54" s="223"/>
      <c r="FB54" s="223"/>
      <c r="FC54" s="223"/>
      <c r="FD54" s="223"/>
      <c r="FE54" s="223"/>
      <c r="FF54" s="223"/>
      <c r="FG54" s="223"/>
      <c r="FH54" s="223"/>
      <c r="FI54" s="223"/>
      <c r="FJ54" s="223"/>
      <c r="FK54" s="223"/>
      <c r="FL54" s="223"/>
      <c r="FM54" s="223"/>
      <c r="FN54" s="223"/>
      <c r="FO54" s="223"/>
      <c r="FP54" s="223"/>
      <c r="FQ54" s="223"/>
      <c r="FR54" s="223"/>
      <c r="FS54" s="223"/>
      <c r="FT54" s="223"/>
      <c r="FU54" s="223"/>
      <c r="FV54" s="223"/>
      <c r="FW54" s="223"/>
      <c r="FX54" s="223"/>
      <c r="FY54" s="223"/>
      <c r="FZ54" s="223"/>
      <c r="GA54" s="223"/>
      <c r="GB54" s="223"/>
      <c r="GC54" s="223"/>
      <c r="GD54" s="223"/>
      <c r="GE54" s="223"/>
      <c r="GF54" s="223"/>
      <c r="GG54" s="223"/>
      <c r="GH54" s="223"/>
      <c r="GI54" s="223"/>
      <c r="GJ54" s="223"/>
      <c r="GK54" s="223"/>
      <c r="GL54" s="223"/>
      <c r="GM54" s="223"/>
      <c r="GN54" s="223"/>
      <c r="GO54" s="223"/>
      <c r="GP54" s="223"/>
      <c r="GQ54" s="223"/>
      <c r="GR54" s="223"/>
      <c r="GS54" s="223"/>
      <c r="GT54" s="223"/>
      <c r="GU54" s="223"/>
      <c r="GV54" s="223"/>
      <c r="GW54" s="223"/>
      <c r="GX54" s="223"/>
      <c r="GY54" s="223"/>
      <c r="GZ54" s="223"/>
      <c r="HA54" s="223"/>
      <c r="HB54" s="223"/>
      <c r="HC54" s="223"/>
      <c r="HD54" s="223"/>
      <c r="HE54" s="223"/>
      <c r="HF54" s="223"/>
      <c r="HG54" s="223"/>
      <c r="HH54" s="223"/>
      <c r="HI54" s="223"/>
      <c r="HJ54" s="223"/>
      <c r="HK54" s="223"/>
      <c r="HL54" s="223"/>
      <c r="HM54" s="223"/>
      <c r="HN54" s="223"/>
      <c r="HO54" s="223"/>
      <c r="HP54" s="223"/>
      <c r="HQ54" s="223"/>
      <c r="HR54" s="223"/>
      <c r="HS54" s="223"/>
      <c r="HT54" s="223"/>
      <c r="HU54" s="223"/>
      <c r="HV54" s="223"/>
      <c r="HW54" s="223"/>
      <c r="HX54" s="223"/>
      <c r="HY54" s="223"/>
      <c r="HZ54" s="223"/>
      <c r="IA54" s="223"/>
      <c r="IB54" s="223"/>
      <c r="IC54" s="223"/>
      <c r="ID54" s="223"/>
      <c r="IE54" s="223"/>
      <c r="IF54" s="223"/>
      <c r="IG54" s="225">
        <f>IG30</f>
        <v>0</v>
      </c>
      <c r="IH54" s="223"/>
      <c r="II54" s="223"/>
      <c r="IJ54" s="225">
        <f>IJ30</f>
        <v>0</v>
      </c>
      <c r="IK54" s="223"/>
      <c r="IL54" s="223"/>
      <c r="IM54" s="225">
        <f>IM30</f>
        <v>11145520.630000001</v>
      </c>
      <c r="IN54" s="225"/>
      <c r="IO54" s="225"/>
      <c r="IP54" s="225">
        <f>IP30</f>
        <v>5722427.4299999997</v>
      </c>
      <c r="IQ54" s="225"/>
      <c r="IR54" s="225"/>
      <c r="IS54" s="223"/>
      <c r="IT54" s="223"/>
      <c r="IU54" s="223"/>
      <c r="IV54" s="223"/>
      <c r="IW54" s="223"/>
      <c r="IX54" s="223"/>
      <c r="JK54" s="907">
        <f t="shared" si="568"/>
        <v>93825120</v>
      </c>
      <c r="JL54" s="1008">
        <f t="shared" ref="JL54" si="574">JL30+JM30</f>
        <v>93825120</v>
      </c>
      <c r="JN54" s="907">
        <f t="shared" si="570"/>
        <v>38738988.590000004</v>
      </c>
      <c r="JO54" s="1008">
        <f t="shared" ref="JO54" si="575">JO30+JP30</f>
        <v>38738988.590000004</v>
      </c>
      <c r="JQ54" s="1015">
        <f>SUM(JR54:JU54)</f>
        <v>0</v>
      </c>
      <c r="JR54" s="223"/>
      <c r="JS54" s="223"/>
      <c r="JT54" s="223"/>
      <c r="JU54" s="223"/>
      <c r="JV54" s="1015">
        <f>SUM(JW54:JZ54)</f>
        <v>0</v>
      </c>
      <c r="JW54" s="223"/>
      <c r="JX54" s="223"/>
      <c r="JY54" s="223"/>
      <c r="JZ54" s="223"/>
      <c r="KA54" s="1015">
        <f>SUM(KB54:KE54)</f>
        <v>0</v>
      </c>
      <c r="KB54" s="223"/>
      <c r="KC54" s="223"/>
      <c r="KD54" s="223"/>
      <c r="KE54" s="223"/>
      <c r="KF54" s="1015">
        <f>SUM(KG54:KJ54)</f>
        <v>0</v>
      </c>
      <c r="KG54" s="223"/>
      <c r="KH54" s="223"/>
      <c r="KI54" s="223"/>
      <c r="KJ54" s="223"/>
      <c r="KK54" s="220"/>
      <c r="KL54" s="220"/>
      <c r="KM54" s="220"/>
      <c r="KN54" s="220"/>
      <c r="KO54" s="220"/>
      <c r="KP54" s="220"/>
      <c r="KQ54" s="220"/>
      <c r="KR54" s="220"/>
      <c r="KS54" s="220"/>
      <c r="KT54" s="220"/>
      <c r="KU54" s="220"/>
      <c r="KV54" s="220"/>
      <c r="KW54" s="220"/>
      <c r="KX54" s="220"/>
      <c r="KY54" s="220"/>
      <c r="KZ54" s="220"/>
      <c r="LA54" s="220"/>
      <c r="LB54" s="220"/>
      <c r="LC54" s="220"/>
      <c r="LD54" s="220"/>
      <c r="LE54" s="225">
        <f>LE30</f>
        <v>362969400</v>
      </c>
      <c r="LF54" s="225"/>
      <c r="LG54" s="225"/>
      <c r="LH54" s="225"/>
      <c r="LI54" s="225"/>
      <c r="LJ54" s="225"/>
      <c r="LK54" s="225">
        <f>LK30</f>
        <v>362969400</v>
      </c>
      <c r="LL54" s="225"/>
      <c r="LM54"/>
      <c r="LN54"/>
      <c r="LO54"/>
      <c r="LP54"/>
      <c r="LQ54"/>
      <c r="LR54"/>
      <c r="LS54"/>
      <c r="LT54" s="223"/>
      <c r="LU54" s="223"/>
      <c r="LV54"/>
      <c r="LW54"/>
      <c r="LX54"/>
      <c r="LY54" s="223"/>
      <c r="LZ54" s="223"/>
      <c r="MA54"/>
      <c r="MB54"/>
      <c r="MC54"/>
      <c r="MD54"/>
      <c r="ME54"/>
      <c r="MF54"/>
      <c r="MG54"/>
      <c r="MH54"/>
      <c r="MI54"/>
      <c r="MJ54"/>
      <c r="MK54"/>
      <c r="ML54"/>
      <c r="MM54"/>
      <c r="MN54"/>
      <c r="MO54"/>
      <c r="MP54"/>
      <c r="MQ54"/>
      <c r="MR54"/>
      <c r="MS54"/>
      <c r="MT54"/>
      <c r="MU54"/>
      <c r="MV54"/>
      <c r="MW54"/>
      <c r="MX54"/>
      <c r="MY54"/>
      <c r="MZ54"/>
      <c r="NA54"/>
      <c r="NB54"/>
      <c r="NC54"/>
      <c r="ND54"/>
      <c r="NE54"/>
      <c r="NF54"/>
      <c r="NG54"/>
      <c r="NH54"/>
      <c r="NI54"/>
      <c r="NJ54"/>
      <c r="NK54"/>
      <c r="NL54"/>
      <c r="NM54"/>
      <c r="NN54"/>
      <c r="NO54"/>
      <c r="NP54"/>
      <c r="NQ54"/>
      <c r="NR54"/>
      <c r="NS54"/>
      <c r="NT54"/>
      <c r="NU54"/>
      <c r="NV54"/>
      <c r="NW54"/>
      <c r="NX54"/>
      <c r="NY54" s="223"/>
      <c r="NZ54" s="223"/>
      <c r="OA54" s="223"/>
      <c r="OB54" s="223"/>
      <c r="OC54" s="223"/>
      <c r="OD54" s="223"/>
      <c r="OE54" s="223"/>
      <c r="OF54" s="223"/>
      <c r="OG54" s="223"/>
      <c r="OH54" s="223"/>
      <c r="OI54" s="223"/>
      <c r="OJ54" s="223"/>
      <c r="OK54" s="223"/>
      <c r="OL54" s="223"/>
      <c r="OM54" s="223"/>
      <c r="ON54" s="223"/>
      <c r="OO54" s="223"/>
      <c r="OP54" s="223"/>
      <c r="OQ54" s="223"/>
      <c r="OR54" s="223"/>
      <c r="OS54" s="223"/>
      <c r="OT54" s="223"/>
      <c r="OU54" s="223"/>
      <c r="OV54" s="223"/>
      <c r="OW54" s="223"/>
      <c r="OX54" s="223"/>
      <c r="OY54" s="223"/>
      <c r="OZ54" s="223"/>
      <c r="PA54" s="223"/>
      <c r="PB54" s="223"/>
      <c r="PC54" s="223"/>
      <c r="PD54" s="223"/>
      <c r="PE54" s="223"/>
      <c r="PF54" s="223"/>
      <c r="PG54" s="223"/>
      <c r="PH54" s="223"/>
      <c r="PI54" s="223"/>
      <c r="PJ54" s="223"/>
      <c r="PK54" s="223"/>
      <c r="PL54" s="223"/>
      <c r="PM54" s="223"/>
      <c r="PN54" s="223"/>
      <c r="PO54" s="223"/>
      <c r="PP54" s="223"/>
      <c r="PQ54" s="223"/>
      <c r="PR54" s="223"/>
      <c r="PS54" s="223"/>
      <c r="PT54" s="223"/>
      <c r="PU54" s="223"/>
      <c r="PV54" s="223"/>
      <c r="PW54" s="223"/>
      <c r="PX54" s="223"/>
      <c r="PY54" s="223"/>
      <c r="PZ54" s="223"/>
      <c r="QA54" s="223"/>
      <c r="QB54" s="223"/>
      <c r="QC54" s="223"/>
      <c r="QD54" s="223"/>
      <c r="QE54" s="223"/>
      <c r="QF54" s="223"/>
      <c r="QG54" s="223"/>
      <c r="QH54" s="223"/>
      <c r="QI54" s="223"/>
      <c r="QJ54" s="223"/>
      <c r="QK54" s="223"/>
      <c r="QL54" s="223"/>
      <c r="QM54" s="223"/>
      <c r="QN54" s="223"/>
      <c r="QO54" s="223"/>
      <c r="QP54" s="223"/>
      <c r="QQ54" s="223"/>
      <c r="QR54" s="223"/>
      <c r="QS54" s="223"/>
      <c r="QT54" s="223"/>
      <c r="QU54" s="223"/>
      <c r="QV54" s="223"/>
      <c r="QW54" s="223"/>
      <c r="QX54" s="223"/>
      <c r="QY54" s="223"/>
      <c r="QZ54" s="223"/>
      <c r="RA54" s="223"/>
      <c r="RB54" s="223"/>
      <c r="RC54" s="223"/>
      <c r="RD54" s="223"/>
      <c r="RE54" s="223"/>
      <c r="RF54" s="223"/>
      <c r="RG54" s="223"/>
      <c r="RH54" s="223"/>
      <c r="RI54" s="223"/>
      <c r="RJ54" s="223"/>
      <c r="RK54" s="223"/>
      <c r="RL54" s="223"/>
      <c r="RM54" s="223"/>
      <c r="RN54" s="223"/>
      <c r="RO54" s="223"/>
      <c r="RP54" s="223"/>
      <c r="RQ54" s="223"/>
      <c r="RR54" s="223"/>
      <c r="RS54" s="223"/>
      <c r="RT54" s="223"/>
      <c r="RU54" s="223"/>
      <c r="RV54" s="223"/>
      <c r="RW54" s="223"/>
      <c r="RX54" s="223"/>
      <c r="RY54" s="223"/>
      <c r="RZ54" s="223"/>
      <c r="SA54" s="223"/>
      <c r="SB54" s="223"/>
      <c r="SC54" s="223"/>
      <c r="SD54" s="223"/>
      <c r="SE54" s="223"/>
      <c r="SF54" s="223"/>
      <c r="SG54" s="223"/>
      <c r="SH54" s="223"/>
      <c r="SI54" s="223"/>
      <c r="SJ54" s="223"/>
      <c r="SK54" s="223"/>
      <c r="SL54" s="223"/>
      <c r="SM54" s="223"/>
      <c r="SN54" s="223"/>
      <c r="SO54" s="223"/>
      <c r="SP54" s="223"/>
      <c r="SQ54" s="223"/>
      <c r="SR54" s="223"/>
      <c r="SS54" s="223"/>
      <c r="ST54" s="223"/>
      <c r="SU54" s="223"/>
      <c r="SV54" s="223"/>
      <c r="SW54" s="223"/>
      <c r="SX54" s="223"/>
      <c r="SY54" s="223"/>
      <c r="SZ54" s="223"/>
      <c r="TA54" s="223"/>
      <c r="TB54" s="223"/>
      <c r="TC54" s="223"/>
      <c r="TD54" s="223"/>
      <c r="TE54" s="223"/>
      <c r="TF54" s="223"/>
      <c r="TG54" s="223"/>
      <c r="TH54" s="223"/>
      <c r="TI54" s="223"/>
      <c r="TJ54" s="223"/>
      <c r="TK54" s="223"/>
      <c r="TL54" s="223"/>
      <c r="TM54" s="223"/>
      <c r="TN54" s="223"/>
      <c r="TO54" s="223"/>
      <c r="TP54" s="223"/>
      <c r="TQ54" s="223"/>
      <c r="TR54" s="223"/>
      <c r="TS54" s="223"/>
      <c r="TT54" s="223"/>
      <c r="TU54" s="223"/>
      <c r="TV54" s="223"/>
      <c r="TW54" s="223"/>
      <c r="TX54" s="223"/>
      <c r="TY54" s="223"/>
      <c r="TZ54" s="223"/>
      <c r="UA54" s="223"/>
      <c r="UB54" s="223"/>
      <c r="UC54" s="223"/>
      <c r="UD54" s="223"/>
      <c r="UE54" s="223"/>
      <c r="UF54" s="223"/>
      <c r="UG54" s="223"/>
      <c r="UH54" s="223"/>
      <c r="UI54" s="223"/>
      <c r="UJ54" s="223"/>
      <c r="UK54" s="223"/>
      <c r="UL54" s="223"/>
      <c r="UM54" s="223"/>
      <c r="UN54" s="223"/>
      <c r="UO54" s="223"/>
      <c r="UP54" s="223"/>
      <c r="UQ54" s="223"/>
      <c r="UR54" s="223"/>
      <c r="US54" s="223"/>
      <c r="UT54" s="223"/>
      <c r="UU54" s="223"/>
      <c r="UV54" s="223"/>
      <c r="UW54" s="223"/>
      <c r="UX54" s="223"/>
      <c r="UY54" s="223"/>
      <c r="UZ54" s="223"/>
      <c r="VA54" s="223"/>
      <c r="VB54" s="223"/>
      <c r="VC54" s="223"/>
      <c r="VD54" s="223"/>
      <c r="VE54" s="223"/>
      <c r="VF54" s="223"/>
      <c r="VG54" s="223"/>
      <c r="VH54" s="223"/>
      <c r="VI54" s="223"/>
      <c r="VJ54" s="223"/>
      <c r="VK54" s="223"/>
      <c r="VL54" s="223"/>
      <c r="VM54" s="223"/>
      <c r="VN54" s="223"/>
      <c r="VO54" s="223"/>
      <c r="VP54" s="223"/>
      <c r="VQ54" s="223"/>
      <c r="VR54" s="223"/>
      <c r="VS54" s="223"/>
      <c r="VT54" s="223"/>
      <c r="VU54" s="223"/>
      <c r="VV54" s="223"/>
      <c r="VW54" s="223"/>
      <c r="VX54" s="223"/>
      <c r="VY54" s="223"/>
      <c r="VZ54" s="223"/>
      <c r="WA54" s="223"/>
      <c r="WB54" s="223"/>
      <c r="WC54" s="223"/>
      <c r="WD54" s="223"/>
      <c r="WE54" s="223"/>
      <c r="WF54" s="223"/>
      <c r="WG54" s="223"/>
      <c r="WH54" s="223"/>
      <c r="WI54" s="223"/>
      <c r="WJ54" s="223"/>
      <c r="WK54" s="223"/>
      <c r="WL54" s="223"/>
      <c r="WM54" s="223"/>
      <c r="WN54" s="223"/>
    </row>
    <row r="55" spans="1:612" s="1014" customFormat="1" x14ac:dyDescent="0.3">
      <c r="A55" s="1200" t="s">
        <v>134</v>
      </c>
      <c r="B55" s="1010">
        <f>CQ55+CY55+DM55+IG55+IM55+JQ55+KA55+'План и исполнение'!LE55+'Прочая  субсидия_МР  и  ГО'!B44+BS55+CA55+AK55+AU55+JK55+DG55</f>
        <v>1319469521.5599999</v>
      </c>
      <c r="C55" s="1010">
        <f>CR55+CZ55+DU55+IJ55+IP55+JV55+KF55+'План и исполнение'!LK55+'Прочая  субсидия_МР  и  ГО'!C44+BW55+CE55+AP55+AY55+JN55+DJ55</f>
        <v>542681505.26999998</v>
      </c>
      <c r="D55" s="1179">
        <f t="shared" si="572"/>
        <v>1319469.52156</v>
      </c>
      <c r="E55" s="1179">
        <f t="shared" si="572"/>
        <v>542681.50526999997</v>
      </c>
      <c r="F55" s="223"/>
      <c r="G55" s="223"/>
      <c r="H55" s="223"/>
      <c r="I55" s="223"/>
      <c r="J55" s="223"/>
      <c r="K55" s="223"/>
      <c r="L55" s="223"/>
      <c r="M55" s="223"/>
      <c r="N55" s="223"/>
      <c r="O55" s="223"/>
      <c r="P55" s="223"/>
      <c r="Q55" s="223"/>
      <c r="R55" s="223"/>
      <c r="S55" s="223"/>
      <c r="T55" s="223"/>
      <c r="U55" s="223"/>
      <c r="V55" s="223"/>
      <c r="W55" s="223"/>
      <c r="X55" s="223"/>
      <c r="Y55" s="223"/>
      <c r="Z55" s="223"/>
      <c r="AA55" s="223"/>
      <c r="AB55" s="223"/>
      <c r="AC55" s="223"/>
      <c r="AD55" s="223"/>
      <c r="AE55" s="223"/>
      <c r="AF55" s="223"/>
      <c r="AG55" s="223"/>
      <c r="AH55" s="223"/>
      <c r="AI55" s="223"/>
      <c r="AJ55" s="223"/>
      <c r="AK55" s="907">
        <f t="shared" si="562"/>
        <v>0</v>
      </c>
      <c r="AL55" s="1017">
        <f>AL34</f>
        <v>0</v>
      </c>
      <c r="AM55" s="223"/>
      <c r="AN55" s="223"/>
      <c r="AO55" s="1017">
        <f>AO34</f>
        <v>0</v>
      </c>
      <c r="AP55" s="907">
        <f t="shared" si="563"/>
        <v>0</v>
      </c>
      <c r="AQ55" s="1017">
        <f>AQ34</f>
        <v>0</v>
      </c>
      <c r="AR55" s="223"/>
      <c r="AS55" s="223"/>
      <c r="AT55" s="1017">
        <f t="shared" ref="AT55" si="576">AT34</f>
        <v>0</v>
      </c>
      <c r="AU55" s="907">
        <f t="shared" si="565"/>
        <v>0</v>
      </c>
      <c r="AV55" s="1017"/>
      <c r="AW55" s="223"/>
      <c r="AX55" s="1017"/>
      <c r="AY55" s="907">
        <f t="shared" si="567"/>
        <v>0</v>
      </c>
      <c r="AZ55" s="1017"/>
      <c r="BA55" s="223"/>
      <c r="BB55" s="1017"/>
      <c r="BC55" s="223"/>
      <c r="BD55" s="223"/>
      <c r="BE55" s="223"/>
      <c r="BF55" s="223"/>
      <c r="BG55" s="223"/>
      <c r="BH55" s="223"/>
      <c r="BI55" s="223"/>
      <c r="BJ55" s="223"/>
      <c r="BK55" s="223"/>
      <c r="BL55" s="223"/>
      <c r="BM55" s="223"/>
      <c r="BN55" s="223"/>
      <c r="BO55" s="223"/>
      <c r="BP55" s="223"/>
      <c r="BQ55" s="223"/>
      <c r="BR55" s="223"/>
      <c r="BS55" s="225">
        <f>BT34</f>
        <v>17541200</v>
      </c>
      <c r="BT55" s="223"/>
      <c r="BU55" s="223"/>
      <c r="BV55" s="220"/>
      <c r="BW55" s="225">
        <f>BX34</f>
        <v>0</v>
      </c>
      <c r="BX55" s="223"/>
      <c r="BY55" s="223"/>
      <c r="BZ55" s="220"/>
      <c r="CA55" s="225"/>
      <c r="CB55" s="223"/>
      <c r="CC55" s="223"/>
      <c r="CD55" s="220"/>
      <c r="CE55" s="225"/>
      <c r="CF55" s="223"/>
      <c r="CG55" s="223"/>
      <c r="CH55" s="220"/>
      <c r="CI55" s="223"/>
      <c r="CJ55" s="223"/>
      <c r="CK55" s="223"/>
      <c r="CL55" s="223"/>
      <c r="CM55" s="223"/>
      <c r="CN55" s="223"/>
      <c r="CO55" s="223"/>
      <c r="CP55" s="223"/>
      <c r="CQ55" s="225">
        <f>CQ34</f>
        <v>400114625.63999999</v>
      </c>
      <c r="CR55" s="225">
        <f>CR34</f>
        <v>257442496</v>
      </c>
      <c r="CS55" s="223"/>
      <c r="CT55" s="223"/>
      <c r="CU55" s="223"/>
      <c r="CV55" s="223"/>
      <c r="CW55" s="223"/>
      <c r="CX55" s="223"/>
      <c r="CY55" s="225">
        <f>CY34</f>
        <v>83518976.539999992</v>
      </c>
      <c r="CZ55" s="225">
        <f>CZ34</f>
        <v>32287698.670000002</v>
      </c>
      <c r="DA55" s="223"/>
      <c r="DB55" s="223"/>
      <c r="DC55" s="223"/>
      <c r="DD55" s="223"/>
      <c r="DE55" s="223"/>
      <c r="DF55" s="223"/>
      <c r="DG55" s="907">
        <f>DG34</f>
        <v>624092893.42999995</v>
      </c>
      <c r="DH55" s="1270"/>
      <c r="DI55" s="1270"/>
      <c r="DJ55" s="907">
        <f>DJ34</f>
        <v>135026743.69</v>
      </c>
      <c r="DK55" s="1270"/>
      <c r="DL55" s="1270"/>
      <c r="DM55" s="225">
        <f>DM34</f>
        <v>15000000</v>
      </c>
      <c r="DN55" s="223"/>
      <c r="DO55" s="223"/>
      <c r="DP55" s="223"/>
      <c r="DQ55" s="223"/>
      <c r="DR55" s="223"/>
      <c r="DS55" s="223"/>
      <c r="DT55" s="223"/>
      <c r="DU55" s="225">
        <f>DU34</f>
        <v>59633.26</v>
      </c>
      <c r="DV55" s="223"/>
      <c r="DW55" s="223"/>
      <c r="DX55" s="223"/>
      <c r="DY55" s="223"/>
      <c r="DZ55" s="223"/>
      <c r="EA55" s="223"/>
      <c r="EB55" s="223"/>
      <c r="EC55" s="223"/>
      <c r="ED55" s="223"/>
      <c r="EE55" s="223"/>
      <c r="EF55" s="223"/>
      <c r="EG55" s="223"/>
      <c r="EH55" s="223"/>
      <c r="EI55" s="223"/>
      <c r="EJ55" s="223"/>
      <c r="EK55" s="223"/>
      <c r="EL55" s="223"/>
      <c r="EM55" s="223"/>
      <c r="EN55" s="223"/>
      <c r="EO55" s="223"/>
      <c r="EP55" s="223"/>
      <c r="EQ55" s="223"/>
      <c r="ER55" s="223"/>
      <c r="ES55" s="223"/>
      <c r="ET55" s="223"/>
      <c r="EU55" s="223"/>
      <c r="EV55" s="223"/>
      <c r="EW55" s="223"/>
      <c r="EX55" s="223"/>
      <c r="EY55" s="223"/>
      <c r="EZ55" s="223"/>
      <c r="FA55" s="223"/>
      <c r="FB55" s="223"/>
      <c r="FC55" s="223"/>
      <c r="FD55" s="223"/>
      <c r="FE55" s="223"/>
      <c r="FF55" s="223"/>
      <c r="FG55" s="223"/>
      <c r="FH55" s="223"/>
      <c r="FI55" s="223"/>
      <c r="FJ55" s="223"/>
      <c r="FK55" s="223"/>
      <c r="FL55" s="223"/>
      <c r="FM55" s="223"/>
      <c r="FN55" s="223"/>
      <c r="FO55" s="223"/>
      <c r="FP55" s="223"/>
      <c r="FQ55" s="223"/>
      <c r="FR55" s="223"/>
      <c r="FS55" s="223"/>
      <c r="FT55" s="223"/>
      <c r="FU55" s="223"/>
      <c r="FV55" s="223"/>
      <c r="FW55" s="223"/>
      <c r="FX55" s="223"/>
      <c r="FY55" s="223"/>
      <c r="FZ55" s="223"/>
      <c r="GA55" s="223"/>
      <c r="GB55" s="223"/>
      <c r="GC55" s="223"/>
      <c r="GD55" s="223"/>
      <c r="GE55" s="223"/>
      <c r="GF55" s="223"/>
      <c r="GG55" s="223"/>
      <c r="GH55" s="223"/>
      <c r="GI55" s="223"/>
      <c r="GJ55" s="223"/>
      <c r="GK55" s="223"/>
      <c r="GL55" s="223"/>
      <c r="GM55" s="223"/>
      <c r="GN55" s="223"/>
      <c r="GO55" s="223"/>
      <c r="GP55" s="223"/>
      <c r="GQ55" s="223"/>
      <c r="GR55" s="223"/>
      <c r="GS55" s="223"/>
      <c r="GT55" s="223"/>
      <c r="GU55" s="223"/>
      <c r="GV55" s="223"/>
      <c r="GW55" s="223"/>
      <c r="GX55" s="223"/>
      <c r="GY55" s="223"/>
      <c r="GZ55" s="223"/>
      <c r="HA55" s="223"/>
      <c r="HB55" s="223"/>
      <c r="HC55" s="223"/>
      <c r="HD55" s="223"/>
      <c r="HE55" s="223"/>
      <c r="HF55" s="223"/>
      <c r="HG55" s="223"/>
      <c r="HH55" s="223"/>
      <c r="HI55" s="223"/>
      <c r="HJ55" s="223"/>
      <c r="HK55" s="223"/>
      <c r="HL55" s="223"/>
      <c r="HM55" s="223"/>
      <c r="HN55" s="223"/>
      <c r="HO55" s="223"/>
      <c r="HP55" s="223"/>
      <c r="HQ55" s="223"/>
      <c r="HR55" s="223"/>
      <c r="HS55" s="223"/>
      <c r="HT55" s="223"/>
      <c r="HU55" s="223"/>
      <c r="HV55" s="223"/>
      <c r="HW55" s="223"/>
      <c r="HX55" s="223"/>
      <c r="HY55" s="223"/>
      <c r="HZ55" s="223"/>
      <c r="IA55" s="223"/>
      <c r="IB55" s="223"/>
      <c r="IC55" s="223"/>
      <c r="ID55" s="223"/>
      <c r="IE55" s="223"/>
      <c r="IF55" s="223"/>
      <c r="IG55" s="225">
        <f>IG34</f>
        <v>5672500</v>
      </c>
      <c r="IH55" s="223"/>
      <c r="II55" s="223"/>
      <c r="IJ55" s="225">
        <f>IJ34</f>
        <v>3566912.97</v>
      </c>
      <c r="IK55" s="223"/>
      <c r="IL55" s="223"/>
      <c r="IM55" s="225">
        <f>IM34</f>
        <v>0</v>
      </c>
      <c r="IN55" s="225"/>
      <c r="IO55" s="225"/>
      <c r="IP55" s="225">
        <f>IP34</f>
        <v>0</v>
      </c>
      <c r="IQ55" s="225"/>
      <c r="IR55" s="225"/>
      <c r="IS55" s="223"/>
      <c r="IT55" s="223"/>
      <c r="IU55" s="223"/>
      <c r="IV55" s="223"/>
      <c r="IW55" s="223"/>
      <c r="IX55" s="223"/>
      <c r="JK55" s="907">
        <f t="shared" si="568"/>
        <v>0</v>
      </c>
      <c r="JL55" s="1008">
        <f t="shared" ref="JL55" si="577">JL34+JM34</f>
        <v>0</v>
      </c>
      <c r="JN55" s="907">
        <f t="shared" si="570"/>
        <v>0</v>
      </c>
      <c r="JO55" s="1008">
        <f t="shared" ref="JO55" si="578">JO34+JP34</f>
        <v>0</v>
      </c>
      <c r="JQ55" s="1015">
        <f>SUM(JR55:JU55)</f>
        <v>0</v>
      </c>
      <c r="JR55" s="223"/>
      <c r="JS55" s="223"/>
      <c r="JT55" s="223"/>
      <c r="JU55" s="223"/>
      <c r="JV55" s="1015">
        <f>SUM(JW55:JZ55)</f>
        <v>0</v>
      </c>
      <c r="JW55" s="223"/>
      <c r="JX55" s="223"/>
      <c r="JY55" s="223"/>
      <c r="JZ55" s="223"/>
      <c r="KA55" s="1015">
        <f>SUM(KB55:KE55)</f>
        <v>0</v>
      </c>
      <c r="KB55" s="223"/>
      <c r="KC55" s="223"/>
      <c r="KD55" s="223"/>
      <c r="KE55" s="223"/>
      <c r="KF55" s="1015">
        <f>SUM(KG55:KJ55)</f>
        <v>0</v>
      </c>
      <c r="KG55" s="223"/>
      <c r="KH55" s="223"/>
      <c r="KI55" s="223"/>
      <c r="KJ55" s="223"/>
      <c r="KK55" s="220"/>
      <c r="KL55" s="220"/>
      <c r="KM55" s="220"/>
      <c r="KN55" s="220"/>
      <c r="KO55" s="220"/>
      <c r="KP55" s="220"/>
      <c r="KQ55" s="220"/>
      <c r="KR55" s="220"/>
      <c r="KS55" s="220"/>
      <c r="KT55" s="220"/>
      <c r="KU55" s="220"/>
      <c r="KV55" s="220"/>
      <c r="KW55" s="220"/>
      <c r="KX55" s="220"/>
      <c r="KY55" s="220"/>
      <c r="KZ55" s="220"/>
      <c r="LA55" s="220"/>
      <c r="LB55" s="220"/>
      <c r="LC55" s="220"/>
      <c r="LD55" s="220"/>
      <c r="LE55" s="239">
        <f>LE34</f>
        <v>150329323.05000001</v>
      </c>
      <c r="LF55" s="239"/>
      <c r="LG55" s="239"/>
      <c r="LH55" s="239"/>
      <c r="LI55" s="239"/>
      <c r="LJ55" s="239"/>
      <c r="LK55" s="239">
        <f>LK34</f>
        <v>114247363.84</v>
      </c>
      <c r="LL55" s="239"/>
      <c r="LM55" s="220"/>
      <c r="LN55" s="1310"/>
      <c r="LO55" s="1310"/>
      <c r="LP55" s="1222"/>
      <c r="LQ55" s="220"/>
      <c r="LR55" s="1231"/>
      <c r="LS55" s="1228"/>
      <c r="LT55" s="223"/>
      <c r="LU55" s="223"/>
      <c r="LV55" s="220"/>
      <c r="LW55" s="1231"/>
      <c r="LX55" s="1228"/>
      <c r="LY55" s="223"/>
      <c r="LZ55" s="223"/>
      <c r="MA55" s="220"/>
      <c r="MB55" s="220"/>
      <c r="MC55" s="220"/>
      <c r="MD55" s="220"/>
      <c r="ME55" s="220"/>
      <c r="MF55" s="220"/>
      <c r="MG55" s="220"/>
      <c r="MH55" s="220"/>
      <c r="MI55" s="220"/>
      <c r="MJ55" s="220"/>
      <c r="MK55" s="220"/>
      <c r="ML55" s="220"/>
      <c r="MM55"/>
      <c r="MN55"/>
      <c r="MO55"/>
      <c r="MP55"/>
      <c r="MQ55"/>
      <c r="MR55"/>
      <c r="MS55"/>
      <c r="MT55"/>
      <c r="MU55"/>
      <c r="MV55"/>
      <c r="MW55"/>
      <c r="MX55"/>
      <c r="MY55"/>
      <c r="MZ55"/>
      <c r="NA55"/>
      <c r="NB55"/>
      <c r="NC55"/>
      <c r="ND55"/>
      <c r="NE55"/>
      <c r="NF55"/>
      <c r="NG55"/>
      <c r="NH55"/>
      <c r="NI55"/>
      <c r="NJ55"/>
      <c r="NK55"/>
      <c r="NL55"/>
      <c r="NM55"/>
      <c r="NN55"/>
      <c r="NO55"/>
      <c r="NP55"/>
      <c r="NQ55"/>
      <c r="NR55"/>
      <c r="NS55"/>
      <c r="NT55"/>
      <c r="NU55"/>
      <c r="NV55"/>
      <c r="NW55"/>
      <c r="NX55"/>
      <c r="NY55" s="223"/>
      <c r="NZ55" s="223"/>
      <c r="OA55" s="223"/>
      <c r="OB55" s="223"/>
      <c r="OC55" s="223"/>
      <c r="OD55" s="223"/>
      <c r="OE55" s="223"/>
      <c r="OF55" s="223"/>
      <c r="OG55" s="223"/>
      <c r="OH55" s="223"/>
      <c r="OI55" s="223"/>
      <c r="OJ55" s="223"/>
      <c r="OK55" s="223"/>
      <c r="OL55" s="223"/>
      <c r="OM55" s="223"/>
      <c r="ON55" s="223"/>
      <c r="OO55" s="223"/>
      <c r="OP55" s="223"/>
      <c r="OQ55" s="223"/>
      <c r="OR55" s="223"/>
      <c r="OS55" s="223"/>
      <c r="OT55" s="223"/>
      <c r="OU55" s="223"/>
      <c r="OV55" s="223"/>
      <c r="OW55" s="223"/>
      <c r="OX55" s="223"/>
      <c r="OY55" s="223"/>
      <c r="OZ55" s="223"/>
      <c r="PA55" s="223"/>
      <c r="PB55" s="223"/>
      <c r="PC55" s="223"/>
      <c r="PD55" s="223"/>
      <c r="PE55" s="223"/>
      <c r="PF55" s="223"/>
      <c r="PG55" s="223"/>
      <c r="PH55" s="223"/>
      <c r="PI55" s="223"/>
      <c r="PJ55" s="223"/>
      <c r="PK55" s="223"/>
      <c r="PL55" s="223"/>
      <c r="PM55" s="223"/>
      <c r="PN55" s="223"/>
      <c r="PO55" s="223"/>
      <c r="PP55" s="223"/>
      <c r="PQ55" s="223"/>
      <c r="PR55" s="223"/>
      <c r="PS55" s="223"/>
      <c r="PT55" s="223"/>
      <c r="PU55" s="223"/>
      <c r="PV55" s="223"/>
      <c r="PW55" s="223"/>
      <c r="PX55" s="223"/>
      <c r="PY55" s="223"/>
      <c r="PZ55" s="223"/>
      <c r="QA55" s="223"/>
      <c r="QB55" s="223"/>
      <c r="QC55" s="223"/>
      <c r="QD55" s="223"/>
      <c r="QE55" s="223"/>
      <c r="QF55" s="223"/>
      <c r="QG55" s="223"/>
      <c r="QH55" s="223"/>
      <c r="QI55" s="223"/>
      <c r="QJ55" s="223"/>
      <c r="QK55" s="223"/>
      <c r="QL55" s="223"/>
      <c r="QM55" s="223"/>
      <c r="QN55" s="223"/>
      <c r="QO55" s="223"/>
      <c r="QP55" s="223"/>
      <c r="QQ55" s="223"/>
      <c r="QR55" s="223"/>
      <c r="QS55" s="223"/>
      <c r="QT55" s="223"/>
      <c r="QU55" s="223"/>
      <c r="QV55" s="223"/>
      <c r="QW55" s="223"/>
      <c r="QX55" s="223"/>
      <c r="QY55" s="223"/>
      <c r="QZ55" s="223"/>
      <c r="RA55" s="223"/>
      <c r="RB55" s="223"/>
      <c r="RC55" s="223"/>
      <c r="RD55" s="223"/>
      <c r="RE55" s="223"/>
      <c r="RF55" s="223"/>
      <c r="RG55" s="223"/>
      <c r="RH55" s="223"/>
      <c r="RI55" s="223"/>
      <c r="RJ55" s="223"/>
      <c r="RK55" s="223"/>
      <c r="RL55" s="223"/>
      <c r="RM55" s="223"/>
      <c r="RN55" s="223"/>
      <c r="RO55" s="223"/>
      <c r="RP55" s="223"/>
      <c r="RQ55" s="223"/>
      <c r="RR55" s="223"/>
      <c r="RS55" s="223"/>
      <c r="RT55" s="223"/>
      <c r="RU55" s="223"/>
      <c r="RV55" s="223"/>
      <c r="RW55" s="223"/>
      <c r="RX55" s="223"/>
      <c r="RY55" s="223"/>
      <c r="RZ55" s="223"/>
      <c r="SA55" s="223"/>
      <c r="SB55" s="223"/>
      <c r="SC55" s="223"/>
      <c r="SD55" s="223"/>
      <c r="SE55" s="223"/>
      <c r="SF55" s="223"/>
      <c r="SG55" s="223"/>
      <c r="SH55" s="223"/>
      <c r="SI55" s="223"/>
      <c r="SJ55" s="223"/>
      <c r="SK55" s="223"/>
      <c r="SL55" s="223"/>
      <c r="SM55" s="223"/>
      <c r="SN55" s="223"/>
      <c r="SO55" s="223"/>
      <c r="SP55" s="223"/>
      <c r="SQ55" s="223"/>
      <c r="SR55" s="223"/>
      <c r="SS55" s="223"/>
      <c r="ST55" s="223"/>
      <c r="SU55" s="223"/>
      <c r="SV55" s="223"/>
      <c r="SW55" s="223"/>
      <c r="SX55" s="223"/>
      <c r="SY55" s="223"/>
      <c r="SZ55" s="223"/>
      <c r="TA55" s="223"/>
      <c r="TB55" s="223"/>
      <c r="TC55" s="223"/>
      <c r="TD55" s="223"/>
      <c r="TE55" s="223"/>
      <c r="TF55" s="223"/>
      <c r="TG55" s="223"/>
      <c r="TH55" s="223"/>
      <c r="TI55" s="223"/>
      <c r="TJ55" s="223"/>
      <c r="TK55" s="223"/>
      <c r="TL55" s="223"/>
      <c r="TM55" s="223"/>
      <c r="TN55" s="223"/>
      <c r="TO55" s="223"/>
      <c r="TP55" s="223"/>
      <c r="TQ55" s="223"/>
      <c r="TR55" s="223"/>
      <c r="TS55" s="223"/>
      <c r="TT55" s="223"/>
      <c r="TU55" s="223"/>
      <c r="TV55" s="223"/>
      <c r="TW55" s="223"/>
      <c r="TX55" s="223"/>
      <c r="TY55" s="223"/>
      <c r="TZ55" s="223"/>
      <c r="UA55" s="223"/>
      <c r="UB55" s="223"/>
      <c r="UC55" s="223"/>
      <c r="UD55" s="223"/>
      <c r="UE55" s="223"/>
      <c r="UF55" s="223"/>
      <c r="UG55" s="223"/>
      <c r="UH55" s="223"/>
      <c r="UI55" s="223"/>
      <c r="UJ55" s="223"/>
      <c r="UK55" s="223"/>
      <c r="UL55" s="223"/>
      <c r="UM55" s="223"/>
      <c r="UN55" s="223"/>
      <c r="UO55" s="223"/>
      <c r="UP55" s="223"/>
      <c r="UQ55" s="223"/>
      <c r="UR55" s="223"/>
      <c r="US55" s="223"/>
      <c r="UT55" s="223"/>
      <c r="UU55" s="223"/>
      <c r="UV55" s="223"/>
      <c r="UW55" s="223"/>
      <c r="UX55" s="223"/>
      <c r="UY55" s="223"/>
      <c r="UZ55" s="223"/>
      <c r="VA55" s="223"/>
      <c r="VB55" s="223"/>
      <c r="VC55" s="223"/>
      <c r="VD55" s="223"/>
      <c r="VE55" s="223"/>
      <c r="VF55" s="223"/>
      <c r="VG55" s="223"/>
      <c r="VH55" s="223"/>
      <c r="VI55" s="223"/>
      <c r="VJ55" s="223"/>
      <c r="VK55" s="223"/>
      <c r="VL55" s="223"/>
      <c r="VM55" s="223"/>
      <c r="VN55" s="223"/>
      <c r="VO55" s="223"/>
      <c r="VP55" s="223"/>
      <c r="VQ55" s="223"/>
      <c r="VR55" s="223"/>
      <c r="VS55" s="223"/>
      <c r="VT55" s="223"/>
      <c r="VU55" s="223"/>
      <c r="VV55" s="223"/>
      <c r="VW55" s="223"/>
      <c r="VX55" s="223"/>
      <c r="VY55" s="223"/>
      <c r="VZ55" s="223"/>
      <c r="WA55" s="223"/>
      <c r="WB55" s="223"/>
      <c r="WC55" s="223"/>
      <c r="WD55" s="223"/>
      <c r="WE55" s="223"/>
      <c r="WF55" s="223"/>
      <c r="WG55" s="223"/>
      <c r="WH55" s="223"/>
      <c r="WI55" s="223"/>
      <c r="WJ55" s="223"/>
      <c r="WK55" s="223"/>
      <c r="WL55" s="223"/>
      <c r="WM55" s="223"/>
      <c r="WN55" s="223"/>
    </row>
    <row r="56" spans="1:612" s="1014" customFormat="1" x14ac:dyDescent="0.3">
      <c r="A56" s="1200" t="s">
        <v>135</v>
      </c>
      <c r="B56" s="1010">
        <f>CQ56+CY56+DM56+IG56+IM56+JQ56+KA56+'План и исполнение'!LE56+'Прочая  субсидия_МР  и  ГО'!B45+BS56+CA56+AU56+AK56</f>
        <v>276360927.94999999</v>
      </c>
      <c r="C56" s="1010">
        <f>CR56+CZ56+DU56+IJ56+IP56+JV56+KF56+'План и исполнение'!LK56+'Прочая  субсидия_МР  и  ГО'!C45+BW56+CE56+AP56+AY56</f>
        <v>96582697.75</v>
      </c>
      <c r="D56" s="1179">
        <f t="shared" si="572"/>
        <v>276360.92794999998</v>
      </c>
      <c r="E56" s="1179">
        <f t="shared" si="572"/>
        <v>96582.697750000007</v>
      </c>
      <c r="F56" s="223"/>
      <c r="G56" s="223"/>
      <c r="H56" s="223"/>
      <c r="I56" s="223"/>
      <c r="J56" s="223"/>
      <c r="K56" s="223"/>
      <c r="L56" s="223"/>
      <c r="M56" s="223"/>
      <c r="N56" s="223"/>
      <c r="O56" s="223"/>
      <c r="P56" s="223"/>
      <c r="Q56" s="223"/>
      <c r="R56" s="223"/>
      <c r="S56" s="223"/>
      <c r="T56" s="223"/>
      <c r="U56" s="223"/>
      <c r="V56" s="223"/>
      <c r="W56" s="223"/>
      <c r="X56" s="223"/>
      <c r="Y56" s="223"/>
      <c r="Z56" s="223"/>
      <c r="AA56" s="223"/>
      <c r="AB56" s="223"/>
      <c r="AC56" s="223"/>
      <c r="AD56" s="223"/>
      <c r="AE56" s="223"/>
      <c r="AF56" s="223"/>
      <c r="AG56" s="223"/>
      <c r="AH56" s="223"/>
      <c r="AI56" s="223"/>
      <c r="AJ56" s="223"/>
      <c r="AK56" s="907">
        <f t="shared" si="562"/>
        <v>0</v>
      </c>
      <c r="AL56" s="1017"/>
      <c r="AM56" s="223"/>
      <c r="AN56" s="223"/>
      <c r="AO56" s="1017"/>
      <c r="AP56" s="907">
        <f t="shared" si="563"/>
        <v>0</v>
      </c>
      <c r="AQ56" s="1017"/>
      <c r="AR56" s="223"/>
      <c r="AS56" s="223"/>
      <c r="AT56" s="1017"/>
      <c r="AU56" s="907">
        <f t="shared" si="565"/>
        <v>63679506.950000003</v>
      </c>
      <c r="AV56" s="1017">
        <f>AV37</f>
        <v>63679506.950000003</v>
      </c>
      <c r="AW56" s="223"/>
      <c r="AX56" s="1017">
        <f t="shared" ref="AX56" si="579">AX37</f>
        <v>0</v>
      </c>
      <c r="AY56" s="907">
        <f t="shared" si="567"/>
        <v>23548313.280000001</v>
      </c>
      <c r="AZ56" s="1017">
        <f>AZ37</f>
        <v>23548313.280000001</v>
      </c>
      <c r="BA56" s="223"/>
      <c r="BB56" s="1017">
        <f>BB37</f>
        <v>0</v>
      </c>
      <c r="BC56" s="223"/>
      <c r="BD56" s="223"/>
      <c r="BE56" s="223"/>
      <c r="BF56" s="223"/>
      <c r="BG56" s="223"/>
      <c r="BH56" s="223"/>
      <c r="BI56" s="223"/>
      <c r="BJ56" s="223"/>
      <c r="BK56" s="223"/>
      <c r="BL56" s="223"/>
      <c r="BM56" s="223"/>
      <c r="BN56" s="223"/>
      <c r="BO56" s="223"/>
      <c r="BP56" s="223"/>
      <c r="BQ56" s="223"/>
      <c r="BR56" s="223"/>
      <c r="BS56" s="225"/>
      <c r="BT56" s="223"/>
      <c r="BU56" s="223"/>
      <c r="BV56" s="220"/>
      <c r="BW56" s="225"/>
      <c r="BX56" s="223"/>
      <c r="BY56" s="223"/>
      <c r="BZ56" s="220"/>
      <c r="CA56" s="225">
        <f>CB37</f>
        <v>59445206.030000001</v>
      </c>
      <c r="CB56" s="223"/>
      <c r="CC56" s="223"/>
      <c r="CD56" s="220"/>
      <c r="CE56" s="225">
        <f>CF37</f>
        <v>673915.95</v>
      </c>
      <c r="CF56" s="223"/>
      <c r="CG56" s="223"/>
      <c r="CH56" s="220"/>
      <c r="CI56" s="223"/>
      <c r="CJ56" s="223"/>
      <c r="CK56" s="223"/>
      <c r="CL56" s="223"/>
      <c r="CM56" s="223"/>
      <c r="CN56" s="223"/>
      <c r="CO56" s="223"/>
      <c r="CP56" s="223"/>
      <c r="CQ56" s="225">
        <f>CS37</f>
        <v>105147261.73999999</v>
      </c>
      <c r="CR56" s="225">
        <f>CT37</f>
        <v>47307135.049999997</v>
      </c>
      <c r="CS56" s="223"/>
      <c r="CT56" s="223"/>
      <c r="CU56" s="223"/>
      <c r="CV56" s="223"/>
      <c r="CW56" s="223"/>
      <c r="CX56" s="223"/>
      <c r="CY56" s="225">
        <f>DA37</f>
        <v>30886764.379999999</v>
      </c>
      <c r="CZ56" s="225">
        <f>DB37</f>
        <v>10095658.6</v>
      </c>
      <c r="DA56" s="223"/>
      <c r="DB56" s="223"/>
      <c r="DC56" s="223"/>
      <c r="DD56" s="223"/>
      <c r="DE56" s="223"/>
      <c r="DF56" s="223"/>
      <c r="DG56" s="907"/>
      <c r="DH56" s="237"/>
      <c r="DI56" s="237"/>
      <c r="DJ56" s="907"/>
      <c r="DK56" s="223"/>
      <c r="DL56" s="223"/>
      <c r="DM56" s="225"/>
      <c r="DN56" s="223"/>
      <c r="DO56" s="223"/>
      <c r="DP56" s="223"/>
      <c r="DQ56" s="223"/>
      <c r="DR56" s="223"/>
      <c r="DS56" s="223"/>
      <c r="DT56" s="223"/>
      <c r="DU56" s="225"/>
      <c r="DV56" s="223"/>
      <c r="DW56" s="223"/>
      <c r="DX56" s="223"/>
      <c r="DY56" s="223"/>
      <c r="DZ56" s="223"/>
      <c r="EA56" s="223"/>
      <c r="EB56" s="223"/>
      <c r="EC56" s="223"/>
      <c r="ED56" s="223"/>
      <c r="EE56" s="223"/>
      <c r="EF56" s="223"/>
      <c r="EG56" s="223"/>
      <c r="EH56" s="223"/>
      <c r="EI56" s="223"/>
      <c r="EJ56" s="223"/>
      <c r="EK56" s="223"/>
      <c r="EL56" s="223"/>
      <c r="EM56" s="223"/>
      <c r="EN56" s="223"/>
      <c r="EO56" s="223"/>
      <c r="EP56" s="223"/>
      <c r="EQ56" s="223"/>
      <c r="ER56" s="223"/>
      <c r="ES56" s="223"/>
      <c r="ET56" s="223"/>
      <c r="EU56" s="223"/>
      <c r="EV56" s="223"/>
      <c r="EW56" s="223"/>
      <c r="EX56" s="223"/>
      <c r="EY56" s="223"/>
      <c r="EZ56" s="223"/>
      <c r="FA56" s="223"/>
      <c r="FB56" s="223"/>
      <c r="FC56" s="223"/>
      <c r="FD56" s="223"/>
      <c r="FE56" s="223"/>
      <c r="FF56" s="223"/>
      <c r="FG56" s="223"/>
      <c r="FH56" s="223"/>
      <c r="FI56" s="223"/>
      <c r="FJ56" s="223"/>
      <c r="FK56" s="223"/>
      <c r="FL56" s="223"/>
      <c r="FM56" s="223"/>
      <c r="FN56" s="223"/>
      <c r="FO56" s="223"/>
      <c r="FP56" s="223"/>
      <c r="FQ56" s="223"/>
      <c r="FR56" s="223"/>
      <c r="FS56" s="223"/>
      <c r="FT56" s="223"/>
      <c r="FU56" s="223"/>
      <c r="FV56" s="223"/>
      <c r="FW56" s="223"/>
      <c r="FX56" s="223"/>
      <c r="FY56" s="223"/>
      <c r="FZ56" s="223"/>
      <c r="GA56" s="223"/>
      <c r="GB56" s="223"/>
      <c r="GC56" s="223"/>
      <c r="GD56" s="223"/>
      <c r="GE56" s="223"/>
      <c r="GF56" s="223"/>
      <c r="GG56" s="223"/>
      <c r="GH56" s="223"/>
      <c r="GI56" s="223"/>
      <c r="GJ56" s="223"/>
      <c r="GK56" s="223"/>
      <c r="GL56" s="223"/>
      <c r="GM56" s="223"/>
      <c r="GN56" s="223"/>
      <c r="GO56" s="223"/>
      <c r="GP56" s="223"/>
      <c r="GQ56" s="223"/>
      <c r="GR56" s="223"/>
      <c r="GS56" s="223"/>
      <c r="GT56" s="223"/>
      <c r="GU56" s="223"/>
      <c r="GV56" s="223"/>
      <c r="GW56" s="223"/>
      <c r="GX56" s="223"/>
      <c r="GY56" s="223"/>
      <c r="GZ56" s="223"/>
      <c r="HA56" s="223"/>
      <c r="HB56" s="223"/>
      <c r="HC56" s="223"/>
      <c r="HD56" s="223"/>
      <c r="HE56" s="223"/>
      <c r="HF56" s="223"/>
      <c r="HG56" s="223"/>
      <c r="HH56" s="223"/>
      <c r="HI56" s="223"/>
      <c r="HJ56" s="223"/>
      <c r="HK56" s="223"/>
      <c r="HL56" s="223"/>
      <c r="HM56" s="223"/>
      <c r="HN56" s="223"/>
      <c r="HO56" s="223"/>
      <c r="HP56" s="223"/>
      <c r="HQ56" s="223"/>
      <c r="HR56" s="223"/>
      <c r="HS56" s="223"/>
      <c r="HT56" s="223"/>
      <c r="HU56" s="223"/>
      <c r="HV56" s="223"/>
      <c r="HW56" s="223"/>
      <c r="HX56" s="223"/>
      <c r="HY56" s="223"/>
      <c r="HZ56" s="223"/>
      <c r="IA56" s="223"/>
      <c r="IB56" s="223"/>
      <c r="IC56" s="223"/>
      <c r="ID56" s="223"/>
      <c r="IE56" s="223"/>
      <c r="IF56" s="223"/>
      <c r="IG56" s="225"/>
      <c r="IH56" s="223"/>
      <c r="II56" s="223"/>
      <c r="IJ56" s="225"/>
      <c r="IK56" s="223"/>
      <c r="IL56" s="223"/>
      <c r="IM56" s="225">
        <f>'План и исполнение'!IS37</f>
        <v>15033279.370000003</v>
      </c>
      <c r="IN56" s="225"/>
      <c r="IO56" s="225"/>
      <c r="IP56" s="225">
        <f>'План и исполнение'!IV37</f>
        <v>12788765.390000001</v>
      </c>
      <c r="IQ56" s="225"/>
      <c r="IR56" s="225"/>
      <c r="IS56" s="223"/>
      <c r="IT56" s="223"/>
      <c r="IU56" s="223"/>
      <c r="IV56" s="223"/>
      <c r="IW56" s="223"/>
      <c r="IX56" s="223"/>
      <c r="JK56" s="907">
        <f t="shared" si="568"/>
        <v>0</v>
      </c>
      <c r="JL56" s="1008"/>
      <c r="JN56" s="907">
        <f t="shared" si="570"/>
        <v>0</v>
      </c>
      <c r="JO56" s="1008"/>
      <c r="JQ56" s="1015">
        <f>SUM(JR56:JU56)</f>
        <v>0</v>
      </c>
      <c r="JR56" s="223"/>
      <c r="JS56" s="223"/>
      <c r="JT56" s="223"/>
      <c r="JU56" s="223"/>
      <c r="JV56" s="1015">
        <f>SUM(JW56:JZ56)</f>
        <v>0</v>
      </c>
      <c r="JW56" s="223"/>
      <c r="JX56" s="223"/>
      <c r="JY56" s="223"/>
      <c r="JZ56" s="223"/>
      <c r="KA56" s="1015">
        <f>SUM(KB56:KE56)</f>
        <v>0</v>
      </c>
      <c r="KB56" s="223"/>
      <c r="KC56" s="223"/>
      <c r="KD56" s="223"/>
      <c r="KE56" s="223"/>
      <c r="KF56" s="1015">
        <f>SUM(KG56:KJ56)</f>
        <v>0</v>
      </c>
      <c r="KG56" s="223"/>
      <c r="KH56" s="223"/>
      <c r="KI56" s="223"/>
      <c r="KJ56" s="223"/>
      <c r="KK56" s="220"/>
      <c r="KL56" s="220"/>
      <c r="KM56" s="220"/>
      <c r="KN56" s="220"/>
      <c r="KO56" s="220"/>
      <c r="KP56" s="220"/>
      <c r="KQ56" s="220"/>
      <c r="KR56" s="220"/>
      <c r="KS56" s="220"/>
      <c r="KT56" s="220"/>
      <c r="KU56" s="220"/>
      <c r="KV56" s="220"/>
      <c r="KW56" s="220"/>
      <c r="KX56" s="220"/>
      <c r="KY56" s="220"/>
      <c r="KZ56" s="220"/>
      <c r="LA56" s="220"/>
      <c r="LB56" s="220"/>
      <c r="LC56" s="220"/>
      <c r="LD56" s="220"/>
      <c r="LE56" s="239"/>
      <c r="LF56" s="239"/>
      <c r="LG56" s="239"/>
      <c r="LH56" s="239"/>
      <c r="LI56" s="239"/>
      <c r="LJ56" s="239"/>
      <c r="LK56" s="239"/>
      <c r="LL56" s="239"/>
      <c r="LM56" s="220"/>
      <c r="LN56" s="1310"/>
      <c r="LO56" s="1310"/>
      <c r="LP56" s="1222"/>
      <c r="LQ56" s="220"/>
      <c r="LR56" s="1231"/>
      <c r="LS56" s="1228"/>
      <c r="LT56" s="223"/>
      <c r="LU56" s="223"/>
      <c r="LV56" s="220"/>
      <c r="LW56" s="1231"/>
      <c r="LX56" s="1228"/>
      <c r="LY56" s="223"/>
      <c r="LZ56" s="223"/>
      <c r="MA56" s="220"/>
      <c r="MB56" s="220"/>
      <c r="MC56" s="220"/>
      <c r="MD56" s="220"/>
      <c r="ME56" s="220"/>
      <c r="MF56" s="220"/>
      <c r="MG56" s="220"/>
      <c r="MH56" s="220"/>
      <c r="MI56" s="220"/>
      <c r="MJ56" s="220"/>
      <c r="MK56" s="220"/>
      <c r="ML56" s="220"/>
      <c r="MM56"/>
      <c r="MN56"/>
      <c r="MO56"/>
      <c r="MP56"/>
      <c r="MQ56"/>
      <c r="MR56"/>
      <c r="MS56"/>
      <c r="MT56"/>
      <c r="MU56"/>
      <c r="MV56"/>
      <c r="MW56"/>
      <c r="MX56"/>
      <c r="MY56"/>
      <c r="MZ56"/>
      <c r="NA56"/>
      <c r="NB56"/>
      <c r="NC56"/>
      <c r="ND56"/>
      <c r="NE56"/>
      <c r="NF56"/>
      <c r="NG56"/>
      <c r="NH56"/>
      <c r="NI56"/>
      <c r="NJ56"/>
      <c r="NK56"/>
      <c r="NL56"/>
      <c r="NM56"/>
      <c r="NN56"/>
      <c r="NO56"/>
      <c r="NP56"/>
      <c r="NQ56"/>
      <c r="NR56"/>
      <c r="NS56"/>
      <c r="NT56"/>
      <c r="NU56"/>
      <c r="NV56"/>
      <c r="NW56"/>
      <c r="NX56"/>
      <c r="NY56" s="223"/>
      <c r="NZ56" s="223"/>
      <c r="OA56" s="223"/>
      <c r="OB56" s="223"/>
      <c r="OC56" s="223"/>
      <c r="OD56" s="223"/>
      <c r="OE56" s="223"/>
      <c r="OF56" s="223"/>
      <c r="OG56" s="223"/>
      <c r="OH56" s="223"/>
      <c r="OI56" s="223"/>
      <c r="OJ56" s="223"/>
      <c r="OK56" s="223"/>
      <c r="OL56" s="223"/>
      <c r="OM56" s="223"/>
      <c r="ON56" s="223"/>
      <c r="OO56" s="223"/>
      <c r="OP56" s="223"/>
      <c r="OQ56" s="223"/>
      <c r="OR56" s="223"/>
      <c r="OS56" s="223"/>
      <c r="OT56" s="223"/>
      <c r="OU56" s="223"/>
      <c r="OV56" s="223"/>
      <c r="OW56" s="223"/>
      <c r="OX56" s="223"/>
      <c r="OY56" s="223"/>
      <c r="OZ56" s="223"/>
      <c r="PA56" s="223"/>
      <c r="PB56" s="223"/>
      <c r="PC56" s="223"/>
      <c r="PD56" s="223"/>
      <c r="PE56" s="223"/>
      <c r="PF56" s="223"/>
      <c r="PG56" s="223"/>
      <c r="PH56" s="223"/>
      <c r="PI56" s="223"/>
      <c r="PJ56" s="223"/>
      <c r="PK56" s="223"/>
      <c r="PL56" s="223"/>
      <c r="PM56" s="223"/>
      <c r="PN56" s="223"/>
      <c r="PO56" s="223"/>
      <c r="PP56" s="223"/>
      <c r="PQ56" s="223"/>
      <c r="PR56" s="223"/>
      <c r="PS56" s="223"/>
      <c r="PT56" s="223"/>
      <c r="PU56" s="223"/>
      <c r="PV56" s="223"/>
      <c r="PW56" s="223"/>
      <c r="PX56" s="223"/>
      <c r="PY56" s="223"/>
      <c r="PZ56" s="223"/>
      <c r="QA56" s="223"/>
      <c r="QB56" s="223"/>
      <c r="QC56" s="223"/>
      <c r="QD56" s="223"/>
      <c r="QE56" s="223"/>
      <c r="QF56" s="223"/>
      <c r="QG56" s="223"/>
      <c r="QH56" s="223"/>
      <c r="QI56" s="223"/>
      <c r="QJ56" s="223"/>
      <c r="QK56" s="223"/>
      <c r="QL56" s="223"/>
      <c r="QM56" s="223"/>
      <c r="QN56" s="223"/>
      <c r="QO56" s="223"/>
      <c r="QP56" s="223"/>
      <c r="QQ56" s="223"/>
      <c r="QR56" s="223"/>
      <c r="QS56" s="223"/>
      <c r="QT56" s="223"/>
      <c r="QU56" s="223"/>
      <c r="QV56" s="223"/>
      <c r="QW56" s="223"/>
      <c r="QX56" s="223"/>
      <c r="QY56" s="223"/>
      <c r="QZ56" s="223"/>
      <c r="RA56" s="223"/>
      <c r="RB56" s="223"/>
      <c r="RC56" s="223"/>
      <c r="RD56" s="223"/>
      <c r="RE56" s="223"/>
      <c r="RF56" s="223"/>
      <c r="RG56" s="223"/>
      <c r="RH56" s="223"/>
      <c r="RI56" s="223"/>
      <c r="RJ56" s="223"/>
      <c r="RK56" s="223"/>
      <c r="RL56" s="223"/>
      <c r="RM56" s="223"/>
      <c r="RN56" s="223"/>
      <c r="RO56" s="223"/>
      <c r="RP56" s="223"/>
      <c r="RQ56" s="223"/>
      <c r="RR56" s="223"/>
      <c r="RS56" s="223"/>
      <c r="RT56" s="223"/>
      <c r="RU56" s="223"/>
      <c r="RV56" s="223"/>
      <c r="RW56" s="223"/>
      <c r="RX56" s="223"/>
      <c r="RY56" s="223"/>
      <c r="RZ56" s="223"/>
      <c r="SA56" s="223"/>
      <c r="SB56" s="223"/>
      <c r="SC56" s="223"/>
      <c r="SD56" s="223"/>
      <c r="SE56" s="223"/>
      <c r="SF56" s="223"/>
      <c r="SG56" s="223"/>
      <c r="SH56" s="223"/>
      <c r="SI56" s="223"/>
      <c r="SJ56" s="223"/>
      <c r="SK56" s="223"/>
      <c r="SL56" s="223"/>
      <c r="SM56" s="223"/>
      <c r="SN56" s="223"/>
      <c r="SO56" s="223"/>
      <c r="SP56" s="223"/>
      <c r="SQ56" s="223"/>
      <c r="SR56" s="223"/>
      <c r="SS56" s="223"/>
      <c r="ST56" s="223"/>
      <c r="SU56" s="223"/>
      <c r="SV56" s="223"/>
      <c r="SW56" s="223"/>
      <c r="SX56" s="223"/>
      <c r="SY56" s="223"/>
      <c r="SZ56" s="223"/>
      <c r="TA56" s="223"/>
      <c r="TB56" s="223"/>
      <c r="TC56" s="223"/>
      <c r="TD56" s="223"/>
      <c r="TE56" s="223"/>
      <c r="TF56" s="223"/>
      <c r="TG56" s="223"/>
      <c r="TH56" s="223"/>
      <c r="TI56" s="223"/>
      <c r="TJ56" s="223"/>
      <c r="TK56" s="223"/>
      <c r="TL56" s="223"/>
      <c r="TM56" s="223"/>
      <c r="TN56" s="223"/>
      <c r="TO56" s="223"/>
      <c r="TP56" s="223"/>
      <c r="TQ56" s="223"/>
      <c r="TR56" s="223"/>
      <c r="TS56" s="223"/>
      <c r="TT56" s="223"/>
      <c r="TU56" s="223"/>
      <c r="TV56" s="223"/>
      <c r="TW56" s="223"/>
      <c r="TX56" s="223"/>
      <c r="TY56" s="223"/>
      <c r="TZ56" s="223"/>
      <c r="UA56" s="223"/>
      <c r="UB56" s="223"/>
      <c r="UC56" s="223"/>
      <c r="UD56" s="223"/>
      <c r="UE56" s="223"/>
      <c r="UF56" s="223"/>
      <c r="UG56" s="223"/>
      <c r="UH56" s="223"/>
      <c r="UI56" s="223"/>
      <c r="UJ56" s="223"/>
      <c r="UK56" s="223"/>
      <c r="UL56" s="223"/>
      <c r="UM56" s="223"/>
      <c r="UN56" s="223"/>
      <c r="UO56" s="223"/>
      <c r="UP56" s="223"/>
      <c r="UQ56" s="223"/>
      <c r="UR56" s="223"/>
      <c r="US56" s="223"/>
      <c r="UT56" s="223"/>
      <c r="UU56" s="223"/>
      <c r="UV56" s="223"/>
      <c r="UW56" s="223"/>
      <c r="UX56" s="223"/>
      <c r="UY56" s="223"/>
      <c r="UZ56" s="223"/>
      <c r="VA56" s="223"/>
      <c r="VB56" s="223"/>
      <c r="VC56" s="223"/>
      <c r="VD56" s="223"/>
      <c r="VE56" s="223"/>
      <c r="VF56" s="223"/>
      <c r="VG56" s="223"/>
      <c r="VH56" s="223"/>
      <c r="VI56" s="223"/>
      <c r="VJ56" s="223"/>
      <c r="VK56" s="223"/>
      <c r="VL56" s="223"/>
      <c r="VM56" s="223"/>
      <c r="VN56" s="223"/>
      <c r="VO56" s="223"/>
      <c r="VP56" s="223"/>
      <c r="VQ56" s="223"/>
      <c r="VR56" s="223"/>
      <c r="VS56" s="223"/>
      <c r="VT56" s="223"/>
      <c r="VU56" s="223"/>
      <c r="VV56" s="223"/>
      <c r="VW56" s="223"/>
      <c r="VX56" s="223"/>
      <c r="VY56" s="223"/>
      <c r="VZ56" s="223"/>
      <c r="WA56" s="223"/>
      <c r="WB56" s="223"/>
      <c r="WC56" s="223"/>
      <c r="WD56" s="223"/>
      <c r="WE56" s="223"/>
      <c r="WF56" s="223"/>
      <c r="WG56" s="223"/>
      <c r="WH56" s="223"/>
      <c r="WI56" s="223"/>
      <c r="WJ56" s="223"/>
      <c r="WK56" s="223"/>
      <c r="WL56" s="223"/>
      <c r="WM56" s="223"/>
      <c r="WN56" s="223"/>
    </row>
    <row r="57" spans="1:612" s="1014" customFormat="1" x14ac:dyDescent="0.3">
      <c r="A57" s="1007" t="s">
        <v>164</v>
      </c>
      <c r="B57" s="1010">
        <f>B53-B54-B55-B56</f>
        <v>0</v>
      </c>
      <c r="C57" s="1010">
        <f>C53-C54-C55-C56</f>
        <v>1.1920928955078125E-7</v>
      </c>
      <c r="D57" s="1179">
        <f t="shared" si="572"/>
        <v>0</v>
      </c>
      <c r="E57" s="1179">
        <f t="shared" si="572"/>
        <v>1.1920928955078125E-10</v>
      </c>
      <c r="F57" s="223"/>
      <c r="G57" s="223"/>
      <c r="H57" s="223"/>
      <c r="I57" s="223"/>
      <c r="J57" s="223"/>
      <c r="K57" s="223"/>
      <c r="L57" s="223"/>
      <c r="M57" s="223"/>
      <c r="N57" s="223"/>
      <c r="O57" s="223"/>
      <c r="P57" s="223"/>
      <c r="Q57" s="223"/>
      <c r="R57" s="223"/>
      <c r="S57" s="223"/>
      <c r="T57" s="223"/>
      <c r="U57" s="223"/>
      <c r="V57" s="223"/>
      <c r="W57" s="223"/>
      <c r="X57" s="223"/>
      <c r="Y57" s="223"/>
      <c r="Z57" s="223"/>
      <c r="AA57" s="223"/>
      <c r="AB57" s="223"/>
      <c r="AC57" s="223"/>
      <c r="AD57" s="223"/>
      <c r="AE57" s="223"/>
      <c r="AF57" s="223"/>
      <c r="AG57" s="223"/>
      <c r="AH57" s="223"/>
      <c r="AI57" s="223"/>
      <c r="AJ57" s="223"/>
      <c r="AK57" s="907">
        <f t="shared" si="562"/>
        <v>0</v>
      </c>
      <c r="AL57" s="1017"/>
      <c r="AM57" s="223"/>
      <c r="AN57" s="223"/>
      <c r="AO57" s="1017">
        <f>SUM(AP57:AS57)</f>
        <v>0</v>
      </c>
      <c r="AP57" s="907">
        <f t="shared" si="563"/>
        <v>0</v>
      </c>
      <c r="AQ57" s="1017"/>
      <c r="AR57" s="223"/>
      <c r="AS57" s="223"/>
      <c r="AT57" s="1017"/>
      <c r="AU57" s="907">
        <f t="shared" si="565"/>
        <v>1.9562867237254977E-7</v>
      </c>
      <c r="AV57" s="1017">
        <f>SUM(AW57:NR57)</f>
        <v>1.3973476598039269E-7</v>
      </c>
      <c r="AW57" s="223"/>
      <c r="AX57" s="1017">
        <f>SUM(AY57:BA57)</f>
        <v>5.5893906392157078E-8</v>
      </c>
      <c r="AY57" s="907">
        <f t="shared" si="567"/>
        <v>2.7946953196078539E-8</v>
      </c>
      <c r="AZ57" s="1017">
        <f>SUM(BA57:NR57)</f>
        <v>2.7946953196078539E-8</v>
      </c>
      <c r="BA57" s="223"/>
      <c r="BB57" s="1017">
        <f>SUM(BC57:BE57)</f>
        <v>0</v>
      </c>
      <c r="BC57" s="223"/>
      <c r="BD57" s="223"/>
      <c r="BE57" s="223"/>
      <c r="BF57" s="223"/>
      <c r="BG57" s="223"/>
      <c r="BH57" s="223"/>
      <c r="BI57" s="223"/>
      <c r="BJ57" s="223"/>
      <c r="BK57" s="223"/>
      <c r="BL57" s="223"/>
      <c r="BM57" s="223"/>
      <c r="BN57" s="223"/>
      <c r="BO57" s="223"/>
      <c r="BP57" s="223"/>
      <c r="BQ57" s="223"/>
      <c r="BR57" s="223"/>
      <c r="BS57" s="225">
        <f>BS53-BS54-BS55-BS56</f>
        <v>0</v>
      </c>
      <c r="BT57" s="223"/>
      <c r="BU57" s="223"/>
      <c r="BV57" s="220"/>
      <c r="BW57" s="225">
        <f>BW53-BW54-BW55-BW56</f>
        <v>0</v>
      </c>
      <c r="BX57" s="223"/>
      <c r="BY57" s="223"/>
      <c r="BZ57" s="220"/>
      <c r="CA57" s="225">
        <f>CA53-CA54-CA55-CA56</f>
        <v>0</v>
      </c>
      <c r="CB57" s="223"/>
      <c r="CC57" s="223"/>
      <c r="CD57" s="220"/>
      <c r="CE57" s="225">
        <f>CE53-CE54-CE55-CE56</f>
        <v>0</v>
      </c>
      <c r="CF57" s="223"/>
      <c r="CG57" s="223"/>
      <c r="CH57" s="220"/>
      <c r="CI57" s="223"/>
      <c r="CJ57" s="223"/>
      <c r="CK57" s="223"/>
      <c r="CL57" s="223"/>
      <c r="CM57" s="223"/>
      <c r="CN57" s="223"/>
      <c r="CO57" s="223"/>
      <c r="CP57" s="223"/>
      <c r="CQ57" s="225">
        <f>CQ53-CQ54-CQ55-CQ56</f>
        <v>0</v>
      </c>
      <c r="CR57" s="225">
        <f>CR53-CR54-CR55-CR56</f>
        <v>0</v>
      </c>
      <c r="CS57" s="223"/>
      <c r="CT57" s="223"/>
      <c r="CU57" s="223"/>
      <c r="CV57" s="223"/>
      <c r="CW57" s="223"/>
      <c r="CX57" s="223"/>
      <c r="CY57" s="225">
        <f>CY53-CY54-CY55-CY56</f>
        <v>0</v>
      </c>
      <c r="CZ57" s="225">
        <f>CZ53-CZ54-CZ55-CZ56</f>
        <v>0</v>
      </c>
      <c r="DA57" s="223"/>
      <c r="DB57" s="223"/>
      <c r="DC57" s="223"/>
      <c r="DD57" s="223"/>
      <c r="DE57" s="223"/>
      <c r="DF57" s="223"/>
      <c r="DG57" s="907"/>
      <c r="DH57" s="237"/>
      <c r="DI57" s="237"/>
      <c r="DJ57" s="907"/>
      <c r="DK57" s="223"/>
      <c r="DL57" s="223"/>
      <c r="DM57" s="225">
        <f>DM53-DM54-DM55-DM56</f>
        <v>-1.862645149230957E-9</v>
      </c>
      <c r="DN57" s="223"/>
      <c r="DO57" s="223"/>
      <c r="DP57" s="223"/>
      <c r="DQ57" s="223"/>
      <c r="DR57" s="223"/>
      <c r="DS57" s="223"/>
      <c r="DT57" s="223"/>
      <c r="DU57" s="225">
        <f>DU53-DU54-DU55-DU56</f>
        <v>7.2759576141834259E-12</v>
      </c>
      <c r="DV57" s="223"/>
      <c r="DW57" s="223"/>
      <c r="DX57" s="223"/>
      <c r="DY57" s="223"/>
      <c r="DZ57" s="223"/>
      <c r="EA57" s="223"/>
      <c r="EB57" s="223"/>
      <c r="EC57" s="223"/>
      <c r="ED57" s="223"/>
      <c r="EE57" s="223"/>
      <c r="EF57" s="223"/>
      <c r="EG57" s="223"/>
      <c r="EH57" s="223"/>
      <c r="EI57" s="223"/>
      <c r="EJ57" s="223"/>
      <c r="EK57" s="223"/>
      <c r="EL57" s="223"/>
      <c r="EM57" s="223"/>
      <c r="EN57" s="223"/>
      <c r="EO57" s="223"/>
      <c r="EP57" s="223"/>
      <c r="EQ57" s="223"/>
      <c r="ER57" s="223"/>
      <c r="ES57" s="223"/>
      <c r="ET57" s="223"/>
      <c r="EU57" s="223"/>
      <c r="EV57" s="223"/>
      <c r="EW57" s="223"/>
      <c r="EX57" s="223"/>
      <c r="EY57" s="223"/>
      <c r="EZ57" s="223"/>
      <c r="FA57" s="223"/>
      <c r="FB57" s="223"/>
      <c r="FC57" s="223"/>
      <c r="FD57" s="223"/>
      <c r="FE57" s="223"/>
      <c r="FF57" s="223"/>
      <c r="FG57" s="223"/>
      <c r="FH57" s="223"/>
      <c r="FI57" s="223"/>
      <c r="FJ57" s="223"/>
      <c r="FK57" s="223"/>
      <c r="FL57" s="223"/>
      <c r="FM57" s="223"/>
      <c r="FN57" s="223"/>
      <c r="FO57" s="223"/>
      <c r="FP57" s="223"/>
      <c r="FQ57" s="223"/>
      <c r="FR57" s="223"/>
      <c r="FS57" s="223"/>
      <c r="FT57" s="223"/>
      <c r="FU57" s="223"/>
      <c r="FV57" s="223"/>
      <c r="FW57" s="223"/>
      <c r="FX57" s="223"/>
      <c r="FY57" s="223"/>
      <c r="FZ57" s="223"/>
      <c r="GA57" s="223"/>
      <c r="GB57" s="223"/>
      <c r="GC57" s="223"/>
      <c r="GD57" s="223"/>
      <c r="GE57" s="223"/>
      <c r="GF57" s="223"/>
      <c r="GG57" s="223"/>
      <c r="GH57" s="223"/>
      <c r="GI57" s="223"/>
      <c r="GJ57" s="223"/>
      <c r="GK57" s="223"/>
      <c r="GL57" s="223"/>
      <c r="GM57" s="223"/>
      <c r="GN57" s="223"/>
      <c r="GO57" s="223"/>
      <c r="GP57" s="223"/>
      <c r="GQ57" s="223"/>
      <c r="GR57" s="223"/>
      <c r="GS57" s="223"/>
      <c r="GT57" s="223"/>
      <c r="GU57" s="223"/>
      <c r="GV57" s="223"/>
      <c r="GW57" s="223"/>
      <c r="GX57" s="223"/>
      <c r="GY57" s="223"/>
      <c r="GZ57" s="223"/>
      <c r="HA57" s="223"/>
      <c r="HB57" s="223"/>
      <c r="HC57" s="223"/>
      <c r="HD57" s="223"/>
      <c r="HE57" s="223"/>
      <c r="HF57" s="223"/>
      <c r="HG57" s="223"/>
      <c r="HH57" s="223"/>
      <c r="HI57" s="223"/>
      <c r="HJ57" s="223"/>
      <c r="HK57" s="223"/>
      <c r="HL57" s="223"/>
      <c r="HM57" s="223"/>
      <c r="HN57" s="223"/>
      <c r="HO57" s="223"/>
      <c r="HP57" s="223"/>
      <c r="HQ57" s="223"/>
      <c r="HR57" s="223"/>
      <c r="HS57" s="223"/>
      <c r="HT57" s="223"/>
      <c r="HU57" s="223"/>
      <c r="HV57" s="223"/>
      <c r="HW57" s="223"/>
      <c r="HX57" s="223"/>
      <c r="HY57" s="223"/>
      <c r="HZ57" s="223"/>
      <c r="IA57" s="223"/>
      <c r="IB57" s="223"/>
      <c r="IC57" s="223"/>
      <c r="ID57" s="223"/>
      <c r="IE57" s="223"/>
      <c r="IF57" s="223"/>
      <c r="IG57" s="225">
        <f>IG53-IG54-IG55-IG56</f>
        <v>0</v>
      </c>
      <c r="IH57" s="223"/>
      <c r="II57" s="223"/>
      <c r="IJ57" s="225">
        <f>IJ53-IJ54-IJ55-IJ56</f>
        <v>0</v>
      </c>
      <c r="IK57" s="223"/>
      <c r="IL57" s="223"/>
      <c r="IM57" s="225">
        <f>IM53-IM54-IM55-IM56</f>
        <v>0</v>
      </c>
      <c r="IN57" s="225"/>
      <c r="IO57" s="225"/>
      <c r="IP57" s="225">
        <f>IP53-IP54-IP55-IP56</f>
        <v>0</v>
      </c>
      <c r="IQ57" s="225"/>
      <c r="IR57" s="225"/>
      <c r="IS57" s="223"/>
      <c r="IT57" s="223"/>
      <c r="IU57" s="223"/>
      <c r="IV57" s="223"/>
      <c r="IW57" s="223"/>
      <c r="IX57" s="223"/>
      <c r="JK57" s="907">
        <f t="shared" si="568"/>
        <v>0</v>
      </c>
      <c r="JL57" s="1008">
        <f t="shared" ref="JL57" si="580">JL53-JL54-JL55-JL56</f>
        <v>0</v>
      </c>
      <c r="JN57" s="907">
        <f t="shared" si="570"/>
        <v>0</v>
      </c>
      <c r="JO57" s="1008">
        <f t="shared" ref="JO57" si="581">JO53-JO54-JO55-JO56</f>
        <v>0</v>
      </c>
      <c r="JQ57" s="1015">
        <f>SUM(JR57:JU57)</f>
        <v>0</v>
      </c>
      <c r="JR57" s="223"/>
      <c r="JS57" s="223"/>
      <c r="JT57" s="223"/>
      <c r="JU57" s="223"/>
      <c r="JV57" s="1015">
        <f>SUM(JW57:JZ57)</f>
        <v>0</v>
      </c>
      <c r="JW57" s="223"/>
      <c r="JX57" s="223"/>
      <c r="JY57" s="223"/>
      <c r="JZ57" s="223"/>
      <c r="KA57" s="1015">
        <f>SUM(KB57:KE57)</f>
        <v>0</v>
      </c>
      <c r="KB57" s="223"/>
      <c r="KC57" s="223"/>
      <c r="KD57" s="223"/>
      <c r="KE57" s="223"/>
      <c r="KF57" s="1015">
        <f>SUM(KG57:KJ57)</f>
        <v>0</v>
      </c>
      <c r="KG57" s="223"/>
      <c r="KH57" s="223"/>
      <c r="KI57" s="223"/>
      <c r="KJ57" s="223"/>
      <c r="KK57" s="220"/>
      <c r="KL57" s="220"/>
      <c r="KM57" s="220"/>
      <c r="KN57" s="220"/>
      <c r="KO57" s="220"/>
      <c r="KP57" s="220"/>
      <c r="KQ57" s="220"/>
      <c r="KR57" s="220"/>
      <c r="KS57" s="220"/>
      <c r="KT57" s="220"/>
      <c r="KU57" s="220"/>
      <c r="KV57" s="220"/>
      <c r="KW57" s="220"/>
      <c r="KX57" s="220"/>
      <c r="KY57" s="220"/>
      <c r="KZ57" s="220"/>
      <c r="LA57" s="220"/>
      <c r="LB57" s="220"/>
      <c r="LC57" s="220"/>
      <c r="LD57" s="220"/>
      <c r="LE57" s="225">
        <f>LE53-LE54-LE55-LE56</f>
        <v>0</v>
      </c>
      <c r="LF57" s="239"/>
      <c r="LG57" s="239"/>
      <c r="LH57" s="239"/>
      <c r="LI57" s="239"/>
      <c r="LJ57" s="239"/>
      <c r="LK57" s="225">
        <f>LK53-LK54-LK55-LK56</f>
        <v>2.9802322387695313E-8</v>
      </c>
      <c r="LL57" s="239"/>
      <c r="LM57" s="220"/>
      <c r="LN57" s="1310"/>
      <c r="LO57" s="1310"/>
      <c r="LP57" s="1222"/>
      <c r="LQ57" s="220"/>
      <c r="LR57" s="1231"/>
      <c r="LS57" s="1228"/>
      <c r="LT57" s="223"/>
      <c r="LU57" s="223"/>
      <c r="LV57" s="220"/>
      <c r="LW57" s="1231"/>
      <c r="LX57" s="1228"/>
      <c r="LY57" s="223"/>
      <c r="LZ57" s="223"/>
      <c r="MA57" s="220"/>
      <c r="MB57" s="220"/>
      <c r="MC57" s="220"/>
      <c r="MD57" s="220"/>
      <c r="ME57" s="220"/>
      <c r="MF57" s="220"/>
      <c r="MG57" s="220"/>
      <c r="MH57" s="220"/>
      <c r="MI57" s="220"/>
      <c r="MJ57" s="220"/>
      <c r="MK57" s="220"/>
      <c r="ML57" s="220"/>
      <c r="MM57"/>
      <c r="MN57"/>
      <c r="MO57"/>
      <c r="MP57"/>
      <c r="MQ57"/>
      <c r="MR57"/>
      <c r="MS57"/>
      <c r="MT57"/>
      <c r="MU57"/>
      <c r="MV57"/>
      <c r="MW57"/>
      <c r="MX57"/>
      <c r="MY57"/>
      <c r="MZ57"/>
      <c r="NA57"/>
      <c r="NB57"/>
      <c r="NC57"/>
      <c r="ND57"/>
      <c r="NE57"/>
      <c r="NF57"/>
      <c r="NG57"/>
      <c r="NH57"/>
      <c r="NI57"/>
      <c r="NJ57"/>
      <c r="NK57"/>
      <c r="NL57"/>
      <c r="NM57"/>
      <c r="NN57"/>
      <c r="NO57"/>
      <c r="NP57"/>
      <c r="NQ57"/>
      <c r="NR57"/>
      <c r="NS57"/>
      <c r="NT57"/>
      <c r="NU57"/>
      <c r="NV57"/>
      <c r="NW57"/>
      <c r="NX57"/>
      <c r="NY57" s="223"/>
      <c r="NZ57" s="223"/>
      <c r="OA57" s="223"/>
      <c r="OB57" s="223"/>
      <c r="OC57" s="223"/>
      <c r="OD57" s="223"/>
      <c r="OE57" s="223"/>
      <c r="OF57" s="223"/>
      <c r="OG57" s="223"/>
      <c r="OH57" s="223"/>
      <c r="OI57" s="223"/>
      <c r="OJ57" s="223"/>
      <c r="OK57" s="223"/>
      <c r="OL57" s="223"/>
      <c r="OM57" s="223"/>
      <c r="ON57" s="223"/>
      <c r="OO57" s="223"/>
      <c r="OP57" s="223"/>
      <c r="OQ57" s="223"/>
      <c r="OR57" s="223"/>
      <c r="OS57" s="223"/>
      <c r="OT57" s="223"/>
      <c r="OU57" s="223"/>
      <c r="OV57" s="223"/>
      <c r="OW57" s="223"/>
      <c r="OX57" s="223"/>
      <c r="OY57" s="223"/>
      <c r="OZ57" s="223"/>
      <c r="PA57" s="223"/>
      <c r="PB57" s="223"/>
      <c r="PC57" s="223"/>
      <c r="PD57" s="223"/>
      <c r="PE57" s="223"/>
      <c r="PF57" s="223"/>
      <c r="PG57" s="223"/>
      <c r="PH57" s="223"/>
      <c r="PI57" s="223"/>
      <c r="PJ57" s="223"/>
      <c r="PK57" s="223"/>
      <c r="PL57" s="223"/>
      <c r="PM57" s="223"/>
      <c r="PN57" s="223"/>
      <c r="PO57" s="223"/>
      <c r="PP57" s="223"/>
      <c r="PQ57" s="223"/>
      <c r="PR57" s="223"/>
      <c r="PS57" s="223"/>
      <c r="PT57" s="223"/>
      <c r="PU57" s="223"/>
      <c r="PV57" s="223"/>
      <c r="PW57" s="223"/>
      <c r="PX57" s="223"/>
      <c r="PY57" s="223"/>
      <c r="PZ57" s="223"/>
      <c r="QA57" s="223"/>
      <c r="QB57" s="223"/>
      <c r="QC57" s="223"/>
      <c r="QD57" s="223"/>
      <c r="QE57" s="223"/>
      <c r="QF57" s="223"/>
      <c r="QG57" s="223"/>
      <c r="QH57" s="223"/>
      <c r="QI57" s="223"/>
      <c r="QJ57" s="223"/>
      <c r="QK57" s="223"/>
      <c r="QL57" s="223"/>
      <c r="QM57" s="223"/>
      <c r="QN57" s="223"/>
      <c r="QO57" s="223"/>
      <c r="QP57" s="223"/>
      <c r="QQ57" s="223"/>
      <c r="QR57" s="223"/>
      <c r="QS57" s="223"/>
      <c r="QT57" s="223"/>
      <c r="QU57" s="223"/>
      <c r="QV57" s="223"/>
      <c r="QW57" s="223"/>
      <c r="QX57" s="223"/>
      <c r="QY57" s="223"/>
      <c r="QZ57" s="223"/>
      <c r="RA57" s="223"/>
      <c r="RB57" s="223"/>
      <c r="RC57" s="223"/>
      <c r="RD57" s="223"/>
      <c r="RE57" s="223"/>
      <c r="RF57" s="223"/>
      <c r="RG57" s="223"/>
      <c r="RH57" s="223"/>
      <c r="RI57" s="223"/>
      <c r="RJ57" s="223"/>
      <c r="RK57" s="223"/>
      <c r="RL57" s="223"/>
      <c r="RM57" s="223"/>
      <c r="RN57" s="223"/>
      <c r="RO57" s="223"/>
      <c r="RP57" s="223"/>
      <c r="RQ57" s="223"/>
      <c r="RR57" s="223"/>
      <c r="RS57" s="223"/>
      <c r="RT57" s="223"/>
      <c r="RU57" s="223"/>
      <c r="RV57" s="223"/>
      <c r="RW57" s="223"/>
      <c r="RX57" s="223"/>
      <c r="RY57" s="223"/>
      <c r="RZ57" s="223"/>
      <c r="SA57" s="223"/>
      <c r="SB57" s="223"/>
      <c r="SC57" s="223"/>
      <c r="SD57" s="223"/>
      <c r="SE57" s="223"/>
      <c r="SF57" s="223"/>
      <c r="SG57" s="223"/>
      <c r="SH57" s="223"/>
      <c r="SI57" s="223"/>
      <c r="SJ57" s="223"/>
      <c r="SK57" s="223"/>
      <c r="SL57" s="223"/>
      <c r="SM57" s="223"/>
      <c r="SN57" s="223"/>
      <c r="SO57" s="223"/>
      <c r="SP57" s="223"/>
      <c r="SQ57" s="223"/>
      <c r="SR57" s="223"/>
      <c r="SS57" s="223"/>
      <c r="ST57" s="223"/>
      <c r="SU57" s="223"/>
      <c r="SV57" s="223"/>
      <c r="SW57" s="223"/>
      <c r="SX57" s="223"/>
      <c r="SY57" s="223"/>
      <c r="SZ57" s="223"/>
      <c r="TA57" s="223"/>
      <c r="TB57" s="223"/>
      <c r="TC57" s="223"/>
      <c r="TD57" s="223"/>
      <c r="TE57" s="223"/>
      <c r="TF57" s="223"/>
      <c r="TG57" s="223"/>
      <c r="TH57" s="223"/>
      <c r="TI57" s="223"/>
      <c r="TJ57" s="223"/>
      <c r="TK57" s="223"/>
      <c r="TL57" s="223"/>
      <c r="TM57" s="223"/>
      <c r="TN57" s="223"/>
      <c r="TO57" s="223"/>
      <c r="TP57" s="223"/>
      <c r="TQ57" s="223"/>
      <c r="TR57" s="223"/>
      <c r="TS57" s="223"/>
      <c r="TT57" s="223"/>
      <c r="TU57" s="223"/>
      <c r="TV57" s="223"/>
      <c r="TW57" s="223"/>
      <c r="TX57" s="223"/>
      <c r="TY57" s="223"/>
      <c r="TZ57" s="223"/>
      <c r="UA57" s="223"/>
      <c r="UB57" s="223"/>
      <c r="UC57" s="223"/>
      <c r="UD57" s="223"/>
      <c r="UE57" s="223"/>
      <c r="UF57" s="223"/>
      <c r="UG57" s="223"/>
      <c r="UH57" s="223"/>
      <c r="UI57" s="223"/>
      <c r="UJ57" s="223"/>
      <c r="UK57" s="223"/>
      <c r="UL57" s="223"/>
      <c r="UM57" s="223"/>
      <c r="UN57" s="223"/>
      <c r="UO57" s="223"/>
      <c r="UP57" s="223"/>
      <c r="UQ57" s="223"/>
      <c r="UR57" s="223"/>
      <c r="US57" s="223"/>
      <c r="UT57" s="223"/>
      <c r="UU57" s="223"/>
      <c r="UV57" s="223"/>
      <c r="UW57" s="223"/>
      <c r="UX57" s="223"/>
      <c r="UY57" s="223"/>
      <c r="UZ57" s="223"/>
      <c r="VA57" s="223"/>
      <c r="VB57" s="223"/>
      <c r="VC57" s="223"/>
      <c r="VD57" s="223"/>
      <c r="VE57" s="223"/>
      <c r="VF57" s="223"/>
      <c r="VG57" s="223"/>
      <c r="VH57" s="223"/>
      <c r="VI57" s="223"/>
      <c r="VJ57" s="223"/>
      <c r="VK57" s="223"/>
      <c r="VL57" s="223"/>
      <c r="VM57" s="223"/>
      <c r="VN57" s="223"/>
      <c r="VO57" s="223"/>
      <c r="VP57" s="223"/>
      <c r="VQ57" s="223"/>
      <c r="VR57" s="223"/>
      <c r="VS57" s="223"/>
      <c r="VT57" s="223"/>
      <c r="VU57" s="223"/>
      <c r="VV57" s="223"/>
      <c r="VW57" s="223"/>
      <c r="VX57" s="223"/>
      <c r="VY57" s="223"/>
      <c r="VZ57" s="223"/>
      <c r="WA57" s="223"/>
      <c r="WB57" s="223"/>
      <c r="WC57" s="223"/>
      <c r="WD57" s="223"/>
      <c r="WE57" s="223"/>
      <c r="WF57" s="223"/>
      <c r="WG57" s="223"/>
      <c r="WH57" s="223"/>
      <c r="WI57" s="223"/>
      <c r="WJ57" s="223"/>
      <c r="WK57" s="223"/>
      <c r="WL57" s="223"/>
      <c r="WM57" s="223"/>
      <c r="WN57" s="223"/>
    </row>
    <row r="58" spans="1:612" s="1014" customFormat="1" x14ac:dyDescent="0.3">
      <c r="A58" s="1007"/>
      <c r="B58" s="1010"/>
      <c r="C58" s="1013"/>
      <c r="D58" s="1179">
        <f t="shared" si="572"/>
        <v>0</v>
      </c>
      <c r="E58" s="1179">
        <f t="shared" si="572"/>
        <v>0</v>
      </c>
      <c r="F58" s="223"/>
      <c r="G58" s="223"/>
      <c r="H58" s="223"/>
      <c r="I58" s="223"/>
      <c r="J58" s="223"/>
      <c r="K58" s="223"/>
      <c r="L58" s="223"/>
      <c r="M58" s="223"/>
      <c r="N58" s="223"/>
      <c r="O58" s="223"/>
      <c r="P58" s="223"/>
      <c r="Q58" s="223"/>
      <c r="R58" s="223"/>
      <c r="S58" s="223"/>
      <c r="T58" s="223"/>
      <c r="U58" s="223"/>
      <c r="V58" s="223"/>
      <c r="W58" s="223"/>
      <c r="X58" s="223"/>
      <c r="Y58" s="223"/>
      <c r="Z58" s="223"/>
      <c r="AA58" s="223"/>
      <c r="AB58" s="223"/>
      <c r="AC58" s="223"/>
      <c r="AD58" s="223"/>
      <c r="AE58" s="223"/>
      <c r="AF58" s="223"/>
      <c r="AG58" s="223"/>
      <c r="AH58" s="223"/>
      <c r="AI58" s="223"/>
      <c r="AJ58" s="223"/>
      <c r="AK58" s="907">
        <f t="shared" si="562"/>
        <v>0</v>
      </c>
      <c r="AL58" s="1017"/>
      <c r="AM58" s="223"/>
      <c r="AN58" s="223"/>
      <c r="AO58" s="1017"/>
      <c r="AP58" s="907">
        <f t="shared" si="563"/>
        <v>0</v>
      </c>
      <c r="AQ58" s="1017"/>
      <c r="AR58" s="223"/>
      <c r="AS58" s="223"/>
      <c r="AT58" s="1017"/>
      <c r="AU58" s="907">
        <f t="shared" si="565"/>
        <v>0</v>
      </c>
      <c r="AV58" s="1017"/>
      <c r="AW58" s="223"/>
      <c r="AX58" s="1017"/>
      <c r="AY58" s="907">
        <f t="shared" si="567"/>
        <v>0</v>
      </c>
      <c r="AZ58" s="1017"/>
      <c r="BA58" s="223"/>
      <c r="BB58" s="1017"/>
      <c r="BC58" s="223"/>
      <c r="BD58" s="223"/>
      <c r="BE58" s="223"/>
      <c r="BF58" s="223"/>
      <c r="BG58" s="223"/>
      <c r="BH58" s="223"/>
      <c r="BI58" s="223"/>
      <c r="BJ58" s="223"/>
      <c r="BK58" s="223"/>
      <c r="BL58" s="223"/>
      <c r="BM58" s="223"/>
      <c r="BN58" s="223"/>
      <c r="BO58" s="223"/>
      <c r="BP58" s="223"/>
      <c r="BQ58" s="223"/>
      <c r="BR58" s="223"/>
      <c r="BS58" s="223"/>
      <c r="BT58" s="223"/>
      <c r="BU58" s="223"/>
      <c r="BV58"/>
      <c r="BW58" s="223"/>
      <c r="BX58" s="223"/>
      <c r="BY58" s="223"/>
      <c r="BZ58"/>
      <c r="CA58" s="223"/>
      <c r="CB58" s="223"/>
      <c r="CC58" s="223"/>
      <c r="CD58"/>
      <c r="CE58" s="223"/>
      <c r="CF58" s="223"/>
      <c r="CG58" s="223"/>
      <c r="CH58"/>
      <c r="CI58" s="223"/>
      <c r="CJ58" s="223"/>
      <c r="CK58" s="223"/>
      <c r="CL58" s="223"/>
      <c r="CM58" s="223"/>
      <c r="CN58" s="223"/>
      <c r="CO58" s="223"/>
      <c r="CP58" s="223"/>
      <c r="CQ58" s="223"/>
      <c r="CR58" s="223"/>
      <c r="CS58" s="223"/>
      <c r="CT58" s="223"/>
      <c r="CU58" s="223"/>
      <c r="CV58" s="223"/>
      <c r="CW58" s="223"/>
      <c r="CX58" s="223"/>
      <c r="CY58" s="223"/>
      <c r="CZ58" s="223"/>
      <c r="DA58" s="223"/>
      <c r="DB58" s="223"/>
      <c r="DC58" s="223"/>
      <c r="DD58" s="223"/>
      <c r="DE58" s="223"/>
      <c r="DF58" s="223"/>
      <c r="DG58" s="907"/>
      <c r="DH58" s="237"/>
      <c r="DI58" s="237"/>
      <c r="DJ58" s="907"/>
      <c r="DK58" s="223"/>
      <c r="DL58" s="223"/>
      <c r="DM58" s="223"/>
      <c r="DN58" s="223"/>
      <c r="DO58" s="223"/>
      <c r="DP58" s="223"/>
      <c r="DQ58" s="223"/>
      <c r="DR58" s="223"/>
      <c r="DS58" s="223"/>
      <c r="DT58" s="223"/>
      <c r="DU58" s="223"/>
      <c r="DV58" s="223"/>
      <c r="DW58" s="223"/>
      <c r="DX58" s="223"/>
      <c r="DY58" s="223"/>
      <c r="DZ58" s="223"/>
      <c r="EA58" s="223"/>
      <c r="EB58" s="223"/>
      <c r="EC58" s="223"/>
      <c r="ED58" s="223"/>
      <c r="EE58" s="223"/>
      <c r="EF58" s="223"/>
      <c r="EG58" s="223"/>
      <c r="EH58" s="223"/>
      <c r="EI58" s="223"/>
      <c r="EJ58" s="223"/>
      <c r="EK58" s="223"/>
      <c r="EL58" s="223"/>
      <c r="EM58" s="223"/>
      <c r="EN58" s="223"/>
      <c r="EO58" s="223"/>
      <c r="EP58" s="223"/>
      <c r="EQ58" s="223"/>
      <c r="ER58" s="223"/>
      <c r="ES58" s="223"/>
      <c r="ET58" s="223"/>
      <c r="EU58" s="223"/>
      <c r="EV58" s="223"/>
      <c r="EW58" s="223"/>
      <c r="EX58" s="223"/>
      <c r="EY58" s="223"/>
      <c r="EZ58" s="223"/>
      <c r="FA58" s="223"/>
      <c r="FB58" s="223"/>
      <c r="FC58" s="223"/>
      <c r="FD58" s="223"/>
      <c r="FE58" s="223"/>
      <c r="FF58" s="223"/>
      <c r="FG58" s="223"/>
      <c r="FH58" s="223"/>
      <c r="FI58" s="223"/>
      <c r="FJ58" s="223"/>
      <c r="FK58" s="223"/>
      <c r="FL58" s="223"/>
      <c r="FM58" s="223"/>
      <c r="FN58" s="223"/>
      <c r="FO58" s="223"/>
      <c r="FP58" s="223"/>
      <c r="FQ58" s="223"/>
      <c r="FR58" s="223"/>
      <c r="FS58" s="223"/>
      <c r="FT58" s="223"/>
      <c r="FU58" s="223"/>
      <c r="FV58" s="223"/>
      <c r="FW58" s="223"/>
      <c r="FX58" s="223"/>
      <c r="FY58" s="223"/>
      <c r="FZ58" s="223"/>
      <c r="GA58" s="223"/>
      <c r="GB58" s="223"/>
      <c r="GC58" s="223"/>
      <c r="GD58" s="223"/>
      <c r="GE58" s="223"/>
      <c r="GF58" s="223"/>
      <c r="GG58" s="223"/>
      <c r="GH58" s="223"/>
      <c r="GI58" s="223"/>
      <c r="GJ58" s="223"/>
      <c r="GK58" s="223"/>
      <c r="GL58" s="223"/>
      <c r="GM58" s="223"/>
      <c r="GN58" s="223"/>
      <c r="GO58" s="223"/>
      <c r="GP58" s="223"/>
      <c r="GQ58" s="223"/>
      <c r="GR58" s="223"/>
      <c r="GS58" s="223"/>
      <c r="GT58" s="223"/>
      <c r="GU58" s="223"/>
      <c r="GV58" s="223"/>
      <c r="GW58" s="223"/>
      <c r="GX58" s="223"/>
      <c r="GY58" s="223"/>
      <c r="GZ58" s="223"/>
      <c r="HA58" s="223"/>
      <c r="HB58" s="223"/>
      <c r="HC58" s="223"/>
      <c r="HD58" s="223"/>
      <c r="HE58" s="223"/>
      <c r="HF58" s="223"/>
      <c r="HG58" s="223"/>
      <c r="HH58" s="223"/>
      <c r="HI58" s="223"/>
      <c r="HJ58" s="223"/>
      <c r="HK58" s="223"/>
      <c r="HL58" s="223"/>
      <c r="HM58" s="223"/>
      <c r="HN58" s="223"/>
      <c r="HO58" s="223"/>
      <c r="HP58" s="223"/>
      <c r="HQ58" s="223"/>
      <c r="HR58" s="223"/>
      <c r="HS58" s="223"/>
      <c r="HT58" s="223"/>
      <c r="HU58" s="223"/>
      <c r="HV58" s="223"/>
      <c r="HW58" s="223"/>
      <c r="HX58" s="223"/>
      <c r="HY58" s="223"/>
      <c r="HZ58" s="223"/>
      <c r="IA58" s="223"/>
      <c r="IB58" s="223"/>
      <c r="IC58" s="223"/>
      <c r="ID58" s="223"/>
      <c r="IE58" s="223"/>
      <c r="IF58" s="223"/>
      <c r="IG58" s="223"/>
      <c r="IH58" s="223"/>
      <c r="II58" s="223"/>
      <c r="IJ58" s="223"/>
      <c r="IK58" s="223"/>
      <c r="IL58" s="223"/>
      <c r="IM58" s="223"/>
      <c r="IN58" s="223"/>
      <c r="IO58" s="223"/>
      <c r="IP58" s="223"/>
      <c r="IQ58" s="223"/>
      <c r="IR58" s="223"/>
      <c r="IS58" s="223"/>
      <c r="IT58" s="223"/>
      <c r="IU58" s="223"/>
      <c r="IV58" s="223"/>
      <c r="IW58" s="223"/>
      <c r="IX58" s="223"/>
      <c r="JK58" s="907">
        <f t="shared" si="568"/>
        <v>0</v>
      </c>
      <c r="JL58" s="1009"/>
      <c r="JN58" s="907">
        <f t="shared" si="570"/>
        <v>0</v>
      </c>
      <c r="JO58" s="1009"/>
      <c r="JQ58" s="1015"/>
      <c r="JR58" s="223"/>
      <c r="JS58" s="223"/>
      <c r="JT58" s="223"/>
      <c r="JU58" s="223"/>
      <c r="JV58" s="1015"/>
      <c r="JW58" s="223"/>
      <c r="JX58" s="223"/>
      <c r="JY58" s="223"/>
      <c r="JZ58" s="223"/>
      <c r="KA58" s="1015"/>
      <c r="KB58" s="223"/>
      <c r="KC58" s="223"/>
      <c r="KD58" s="223"/>
      <c r="KE58" s="223"/>
      <c r="KF58" s="1015"/>
      <c r="KG58" s="223"/>
      <c r="KH58" s="223"/>
      <c r="KI58" s="223"/>
      <c r="KJ58" s="223"/>
      <c r="KK58" s="223"/>
      <c r="KL58" s="223"/>
      <c r="KM58" s="223"/>
      <c r="KN58" s="223"/>
      <c r="KO58" s="223"/>
      <c r="KP58" s="223"/>
      <c r="KQ58" s="223"/>
      <c r="KR58" s="223"/>
      <c r="KS58" s="223"/>
      <c r="KT58" s="223"/>
      <c r="KU58" s="223"/>
      <c r="KV58" s="223"/>
      <c r="KW58" s="223"/>
      <c r="KX58" s="223"/>
      <c r="KY58" s="223"/>
      <c r="KZ58" s="223"/>
      <c r="LA58" s="223"/>
      <c r="LB58" s="223"/>
      <c r="LC58" s="223"/>
      <c r="LD58" s="223"/>
      <c r="LE58" s="223"/>
      <c r="LF58" s="223"/>
      <c r="LG58" s="223"/>
      <c r="LH58" s="223"/>
      <c r="LI58" s="223"/>
      <c r="LJ58" s="223"/>
      <c r="LK58" s="223"/>
      <c r="LL58" s="223"/>
      <c r="LM58"/>
      <c r="LN58"/>
      <c r="LO58"/>
      <c r="LP58"/>
      <c r="LQ58"/>
      <c r="LR58"/>
      <c r="LS58"/>
      <c r="LT58" s="223"/>
      <c r="LU58" s="223"/>
      <c r="LV58"/>
      <c r="LW58"/>
      <c r="LX58"/>
      <c r="LY58" s="223"/>
      <c r="LZ58" s="223"/>
      <c r="MA58"/>
      <c r="MB58"/>
      <c r="MC58"/>
      <c r="MD58"/>
      <c r="ME58"/>
      <c r="MF58"/>
      <c r="MG58"/>
      <c r="MH58"/>
      <c r="MI58"/>
      <c r="MJ58"/>
      <c r="MK58"/>
      <c r="ML58"/>
      <c r="MM58"/>
      <c r="MN58"/>
      <c r="MO58"/>
      <c r="MP58"/>
      <c r="MQ58"/>
      <c r="MR58"/>
      <c r="MS58"/>
      <c r="MT58"/>
      <c r="MU58"/>
      <c r="MV58"/>
      <c r="MW58"/>
      <c r="MX58"/>
      <c r="MY58"/>
      <c r="MZ58"/>
      <c r="NA58"/>
      <c r="NB58"/>
      <c r="NC58"/>
      <c r="ND58"/>
      <c r="NE58"/>
      <c r="NF58"/>
      <c r="NG58"/>
      <c r="NH58"/>
      <c r="NI58"/>
      <c r="NJ58"/>
      <c r="NK58"/>
      <c r="NL58"/>
      <c r="NM58"/>
      <c r="NN58"/>
      <c r="NO58"/>
      <c r="NP58"/>
      <c r="NQ58"/>
      <c r="NR58"/>
      <c r="NS58"/>
      <c r="NT58"/>
      <c r="NU58"/>
      <c r="NV58"/>
      <c r="NW58"/>
      <c r="NX58"/>
      <c r="NY58" s="223"/>
      <c r="NZ58" s="223"/>
      <c r="OA58" s="223"/>
      <c r="OB58" s="223"/>
      <c r="OC58" s="223"/>
      <c r="OD58" s="223"/>
      <c r="OE58" s="223"/>
      <c r="OF58" s="223"/>
      <c r="OG58" s="223"/>
      <c r="OH58" s="223"/>
      <c r="OI58" s="223"/>
      <c r="OJ58" s="223"/>
      <c r="OK58" s="223"/>
      <c r="OL58" s="223"/>
      <c r="OM58" s="223"/>
      <c r="ON58" s="223"/>
      <c r="OO58" s="223"/>
      <c r="OP58" s="223"/>
      <c r="OQ58" s="223"/>
      <c r="OR58" s="223"/>
      <c r="OS58" s="223"/>
      <c r="OT58" s="223"/>
      <c r="OU58" s="223"/>
      <c r="OV58" s="223"/>
      <c r="OW58" s="223"/>
      <c r="OX58" s="223"/>
      <c r="OY58" s="223"/>
      <c r="OZ58" s="223"/>
      <c r="PA58" s="223"/>
      <c r="PB58" s="223"/>
      <c r="PC58" s="223"/>
      <c r="PD58" s="223"/>
      <c r="PE58" s="223"/>
      <c r="PF58" s="223"/>
      <c r="PG58" s="223"/>
      <c r="PH58" s="223"/>
      <c r="PI58" s="223"/>
      <c r="PJ58" s="223"/>
      <c r="PK58" s="223"/>
      <c r="PL58" s="223"/>
      <c r="PM58" s="223"/>
      <c r="PN58" s="223"/>
      <c r="PO58" s="223"/>
      <c r="PP58" s="223"/>
      <c r="PQ58" s="223"/>
      <c r="PR58" s="223"/>
      <c r="PS58" s="223"/>
      <c r="PT58" s="223"/>
      <c r="PU58" s="223"/>
      <c r="PV58" s="223"/>
      <c r="PW58" s="223"/>
      <c r="PX58" s="223"/>
      <c r="PY58" s="223"/>
      <c r="PZ58" s="223"/>
      <c r="QA58" s="223"/>
      <c r="QB58" s="223"/>
      <c r="QC58" s="223"/>
      <c r="QD58" s="223"/>
      <c r="QE58" s="223"/>
      <c r="QF58" s="223"/>
      <c r="QG58" s="223"/>
      <c r="QH58" s="223"/>
      <c r="QI58" s="223"/>
      <c r="QJ58" s="223"/>
      <c r="QK58" s="223"/>
      <c r="QL58" s="223"/>
      <c r="QM58" s="223"/>
      <c r="QN58" s="223"/>
      <c r="QO58" s="223"/>
      <c r="QP58" s="223"/>
      <c r="QQ58" s="223"/>
      <c r="QR58" s="223"/>
      <c r="QS58" s="223"/>
      <c r="QT58" s="223"/>
      <c r="QU58" s="223"/>
      <c r="QV58" s="223"/>
      <c r="QW58" s="223"/>
      <c r="QX58" s="223"/>
      <c r="QY58" s="223"/>
      <c r="QZ58" s="223"/>
      <c r="RA58" s="223"/>
      <c r="RB58" s="223"/>
      <c r="RC58" s="223"/>
      <c r="RD58" s="223"/>
      <c r="RE58" s="223"/>
      <c r="RF58" s="223"/>
      <c r="RG58" s="223"/>
      <c r="RH58" s="223"/>
      <c r="RI58" s="223"/>
      <c r="RJ58" s="223"/>
      <c r="RK58" s="223"/>
      <c r="RL58" s="223"/>
      <c r="RM58" s="223"/>
      <c r="RN58" s="223"/>
      <c r="RO58" s="223"/>
      <c r="RP58" s="223"/>
      <c r="RQ58" s="223"/>
      <c r="RR58" s="223"/>
      <c r="RS58" s="223"/>
      <c r="RT58" s="223"/>
      <c r="RU58" s="223"/>
      <c r="RV58" s="223"/>
      <c r="RW58" s="223"/>
      <c r="RX58" s="223"/>
      <c r="RY58" s="223"/>
      <c r="RZ58" s="223"/>
      <c r="SA58" s="223"/>
      <c r="SB58" s="223"/>
      <c r="SC58" s="223"/>
      <c r="SD58" s="223"/>
      <c r="SE58" s="223"/>
      <c r="SF58" s="223"/>
      <c r="SG58" s="223"/>
      <c r="SH58" s="223"/>
      <c r="SI58" s="223"/>
      <c r="SJ58" s="223"/>
      <c r="SK58" s="223"/>
      <c r="SL58" s="223"/>
      <c r="SM58" s="223"/>
      <c r="SN58" s="223"/>
      <c r="SO58" s="223"/>
      <c r="SP58" s="223"/>
      <c r="SQ58" s="223"/>
      <c r="SR58" s="223"/>
      <c r="SS58" s="223"/>
      <c r="ST58" s="223"/>
      <c r="SU58" s="223"/>
      <c r="SV58" s="223"/>
      <c r="SW58" s="223"/>
      <c r="SX58" s="223"/>
      <c r="SY58" s="223"/>
      <c r="SZ58" s="223"/>
      <c r="TA58" s="223"/>
      <c r="TB58" s="223"/>
      <c r="TC58" s="223"/>
      <c r="TD58" s="223"/>
      <c r="TE58" s="223"/>
      <c r="TF58" s="223"/>
      <c r="TG58" s="223"/>
      <c r="TH58" s="223"/>
      <c r="TI58" s="223"/>
      <c r="TJ58" s="223"/>
      <c r="TK58" s="223"/>
      <c r="TL58" s="223"/>
      <c r="TM58" s="223"/>
      <c r="TN58" s="223"/>
      <c r="TO58" s="223"/>
      <c r="TP58" s="223"/>
      <c r="TQ58" s="223"/>
      <c r="TR58" s="223"/>
      <c r="TS58" s="223"/>
      <c r="TT58" s="223"/>
      <c r="TU58" s="223"/>
      <c r="TV58" s="223"/>
      <c r="TW58" s="223"/>
      <c r="TX58" s="223"/>
      <c r="TY58" s="223"/>
      <c r="TZ58" s="223"/>
      <c r="UA58" s="223"/>
      <c r="UB58" s="223"/>
      <c r="UC58" s="223"/>
      <c r="UD58" s="223"/>
      <c r="UE58" s="223"/>
      <c r="UF58" s="223"/>
      <c r="UG58" s="223"/>
      <c r="UH58" s="223"/>
      <c r="UI58" s="223"/>
      <c r="UJ58" s="223"/>
      <c r="UK58" s="223"/>
      <c r="UL58" s="223"/>
      <c r="UM58" s="223"/>
      <c r="UN58" s="223"/>
      <c r="UO58" s="223"/>
      <c r="UP58" s="223"/>
      <c r="UQ58" s="223"/>
      <c r="UR58" s="223"/>
      <c r="US58" s="223"/>
      <c r="UT58" s="223"/>
      <c r="UU58" s="223"/>
      <c r="UV58" s="223"/>
      <c r="UW58" s="223"/>
      <c r="UX58" s="223"/>
      <c r="UY58" s="223"/>
      <c r="UZ58" s="223"/>
      <c r="VA58" s="223"/>
      <c r="VB58" s="223"/>
      <c r="VC58" s="223"/>
      <c r="VD58" s="223"/>
      <c r="VE58" s="223"/>
      <c r="VF58" s="223"/>
      <c r="VG58" s="223"/>
      <c r="VH58" s="223"/>
      <c r="VI58" s="223"/>
      <c r="VJ58" s="223"/>
      <c r="VK58" s="223"/>
      <c r="VL58" s="223"/>
      <c r="VM58" s="223"/>
      <c r="VN58" s="223"/>
      <c r="VO58" s="223"/>
      <c r="VP58" s="223"/>
      <c r="VQ58" s="223"/>
      <c r="VR58" s="223"/>
      <c r="VS58" s="223"/>
      <c r="VT58" s="223"/>
      <c r="VU58" s="223"/>
      <c r="VV58" s="223"/>
      <c r="VW58" s="223"/>
      <c r="VX58" s="223"/>
      <c r="VY58" s="223"/>
      <c r="VZ58" s="223"/>
      <c r="WA58" s="223"/>
      <c r="WB58" s="223"/>
      <c r="WC58" s="223"/>
      <c r="WD58" s="223"/>
      <c r="WE58" s="223"/>
      <c r="WF58" s="223"/>
      <c r="WG58" s="223"/>
      <c r="WH58" s="223"/>
      <c r="WI58" s="223"/>
      <c r="WJ58" s="223"/>
      <c r="WK58" s="223"/>
      <c r="WL58" s="223"/>
      <c r="WM58" s="223"/>
      <c r="WN58" s="223"/>
    </row>
    <row r="59" spans="1:612" s="1014" customFormat="1" x14ac:dyDescent="0.3">
      <c r="A59" s="1007" t="s">
        <v>233</v>
      </c>
      <c r="B59" s="1010">
        <f>CQ59+CY59+DM59+IG59+IM59+JQ59+KA59+'План и исполнение'!LE59+'Прочая  субсидия_БП'!D29+BS59+CA59+AK59+AU59</f>
        <v>86335730.480000004</v>
      </c>
      <c r="C59" s="1010">
        <f>CR59+CZ59+DU59+IJ59+IP59+JV59+KF59+'План и исполнение'!LK59+'Прочая  субсидия_МР  и  ГО'!C48+'Прочая  субсидия_БП'!E29+BW59+CE59+AP59+AY59</f>
        <v>36613046.150000006</v>
      </c>
      <c r="D59" s="1179">
        <f t="shared" si="572"/>
        <v>86335.730479999998</v>
      </c>
      <c r="E59" s="1179">
        <f t="shared" si="572"/>
        <v>36613.046150000009</v>
      </c>
      <c r="F59" s="223"/>
      <c r="G59" s="223"/>
      <c r="H59" s="223"/>
      <c r="I59" s="223"/>
      <c r="J59" s="223"/>
      <c r="K59" s="223"/>
      <c r="L59" s="223"/>
      <c r="M59" s="223"/>
      <c r="N59" s="223"/>
      <c r="O59" s="223"/>
      <c r="P59" s="223"/>
      <c r="Q59" s="223"/>
      <c r="R59" s="223"/>
      <c r="S59" s="223"/>
      <c r="T59" s="223"/>
      <c r="U59" s="223"/>
      <c r="V59" s="223"/>
      <c r="W59" s="223"/>
      <c r="X59" s="223"/>
      <c r="Y59" s="223"/>
      <c r="Z59" s="223"/>
      <c r="AA59" s="223"/>
      <c r="AB59" s="223"/>
      <c r="AC59" s="223"/>
      <c r="AD59" s="223"/>
      <c r="AE59" s="223"/>
      <c r="AF59" s="223"/>
      <c r="AG59" s="223"/>
      <c r="AH59" s="223"/>
      <c r="AI59" s="223"/>
      <c r="AJ59" s="223"/>
      <c r="AK59" s="907">
        <f t="shared" si="562"/>
        <v>0</v>
      </c>
      <c r="AL59" s="1017"/>
      <c r="AM59" s="223"/>
      <c r="AN59" s="223"/>
      <c r="AO59" s="1017"/>
      <c r="AP59" s="907">
        <f t="shared" si="563"/>
        <v>0</v>
      </c>
      <c r="AQ59" s="1017"/>
      <c r="AR59" s="223"/>
      <c r="AS59" s="223"/>
      <c r="AT59" s="1017"/>
      <c r="AU59" s="907">
        <f t="shared" si="565"/>
        <v>63679506.950000003</v>
      </c>
      <c r="AV59" s="1017">
        <f>BD37</f>
        <v>63679506.950000003</v>
      </c>
      <c r="AW59" s="223"/>
      <c r="AX59" s="1017">
        <f>BF37</f>
        <v>0</v>
      </c>
      <c r="AY59" s="907">
        <f t="shared" si="567"/>
        <v>23548313.280000001</v>
      </c>
      <c r="AZ59" s="1017">
        <f>BH37</f>
        <v>23548313.280000001</v>
      </c>
      <c r="BA59" s="223"/>
      <c r="BB59" s="1017">
        <f>BJ37</f>
        <v>0</v>
      </c>
      <c r="BC59" s="223"/>
      <c r="BD59" s="223"/>
      <c r="BE59" s="223"/>
      <c r="BF59" s="223"/>
      <c r="BG59" s="223"/>
      <c r="BH59" s="223"/>
      <c r="BI59" s="223"/>
      <c r="BJ59" s="223"/>
      <c r="BK59" s="223"/>
      <c r="BL59" s="223"/>
      <c r="BM59" s="223"/>
      <c r="BN59" s="223"/>
      <c r="BO59" s="223"/>
      <c r="BP59" s="223"/>
      <c r="BQ59" s="223"/>
      <c r="BR59" s="223"/>
      <c r="BS59" s="225"/>
      <c r="BT59" s="223"/>
      <c r="BU59" s="223"/>
      <c r="BV59"/>
      <c r="BW59" s="225"/>
      <c r="BX59" s="223"/>
      <c r="BY59" s="223"/>
      <c r="BZ59"/>
      <c r="CA59" s="225"/>
      <c r="CB59" s="223"/>
      <c r="CC59" s="223"/>
      <c r="CD59"/>
      <c r="CE59" s="225"/>
      <c r="CF59" s="223"/>
      <c r="CG59" s="223"/>
      <c r="CH59"/>
      <c r="CI59" s="223"/>
      <c r="CJ59" s="223"/>
      <c r="CK59" s="223"/>
      <c r="CL59" s="223"/>
      <c r="CM59" s="223"/>
      <c r="CN59" s="223"/>
      <c r="CO59" s="223"/>
      <c r="CP59" s="223"/>
      <c r="CQ59" s="225">
        <f>CU37</f>
        <v>8576793.0999999978</v>
      </c>
      <c r="CR59" s="225">
        <f>CV37</f>
        <v>2573037.9299999997</v>
      </c>
      <c r="CS59" s="223"/>
      <c r="CT59" s="223"/>
      <c r="CU59" s="223"/>
      <c r="CV59" s="223"/>
      <c r="CW59" s="223"/>
      <c r="CX59" s="223"/>
      <c r="CY59" s="225">
        <f>DC37</f>
        <v>3199402.7700000005</v>
      </c>
      <c r="CZ59" s="225">
        <f>DD37</f>
        <v>959820.83000000007</v>
      </c>
      <c r="DA59" s="223"/>
      <c r="DB59" s="223"/>
      <c r="DC59" s="223"/>
      <c r="DD59" s="223"/>
      <c r="DE59" s="223"/>
      <c r="DF59" s="223"/>
      <c r="DG59" s="907"/>
      <c r="DH59" s="237"/>
      <c r="DI59" s="237"/>
      <c r="DJ59" s="907"/>
      <c r="DK59" s="223"/>
      <c r="DL59" s="223"/>
      <c r="DM59" s="225"/>
      <c r="DN59" s="223"/>
      <c r="DO59" s="223"/>
      <c r="DP59" s="223"/>
      <c r="DQ59" s="223"/>
      <c r="DR59" s="223"/>
      <c r="DS59" s="223"/>
      <c r="DT59" s="223"/>
      <c r="DU59" s="225"/>
      <c r="DV59" s="223"/>
      <c r="DW59" s="223"/>
      <c r="DX59" s="223"/>
      <c r="DY59" s="223"/>
      <c r="DZ59" s="223"/>
      <c r="EA59" s="223"/>
      <c r="EB59" s="223"/>
      <c r="EC59" s="223"/>
      <c r="ED59" s="223"/>
      <c r="EE59" s="223"/>
      <c r="EF59" s="223"/>
      <c r="EG59" s="223"/>
      <c r="EH59" s="223"/>
      <c r="EI59" s="223"/>
      <c r="EJ59" s="223"/>
      <c r="EK59" s="223"/>
      <c r="EL59" s="223"/>
      <c r="EM59" s="223"/>
      <c r="EN59" s="223"/>
      <c r="EO59" s="223"/>
      <c r="EP59" s="223"/>
      <c r="EQ59" s="223"/>
      <c r="ER59" s="223"/>
      <c r="ES59" s="223"/>
      <c r="ET59" s="223"/>
      <c r="EU59" s="223"/>
      <c r="EV59" s="223"/>
      <c r="EW59" s="223"/>
      <c r="EX59" s="223"/>
      <c r="EY59" s="223"/>
      <c r="EZ59" s="223"/>
      <c r="FA59" s="223"/>
      <c r="FB59" s="223"/>
      <c r="FC59" s="223"/>
      <c r="FD59" s="223"/>
      <c r="FE59" s="223"/>
      <c r="FF59" s="223"/>
      <c r="FG59" s="223"/>
      <c r="FH59" s="223"/>
      <c r="FI59" s="223"/>
      <c r="FJ59" s="223"/>
      <c r="FK59" s="223"/>
      <c r="FL59" s="223"/>
      <c r="FM59" s="223"/>
      <c r="FN59" s="223"/>
      <c r="FO59" s="223"/>
      <c r="FP59" s="223"/>
      <c r="FQ59" s="223"/>
      <c r="FR59" s="223"/>
      <c r="FS59" s="223"/>
      <c r="FT59" s="223"/>
      <c r="FU59" s="223"/>
      <c r="FV59" s="223"/>
      <c r="FW59" s="223"/>
      <c r="FX59" s="223"/>
      <c r="FY59" s="223"/>
      <c r="FZ59" s="223"/>
      <c r="GA59" s="223"/>
      <c r="GB59" s="223"/>
      <c r="GC59" s="223"/>
      <c r="GD59" s="223"/>
      <c r="GE59" s="223"/>
      <c r="GF59" s="223"/>
      <c r="GG59" s="223"/>
      <c r="GH59" s="223"/>
      <c r="GI59" s="223"/>
      <c r="GJ59" s="223"/>
      <c r="GK59" s="223"/>
      <c r="GL59" s="223"/>
      <c r="GM59" s="223"/>
      <c r="GN59" s="223"/>
      <c r="GO59" s="223"/>
      <c r="GP59" s="223"/>
      <c r="GQ59" s="223"/>
      <c r="GR59" s="223"/>
      <c r="GS59" s="223"/>
      <c r="GT59" s="223"/>
      <c r="GU59" s="223"/>
      <c r="GV59" s="223"/>
      <c r="GW59" s="223"/>
      <c r="GX59" s="223"/>
      <c r="GY59" s="223"/>
      <c r="GZ59" s="223"/>
      <c r="HA59" s="223"/>
      <c r="HB59" s="223"/>
      <c r="HC59" s="223"/>
      <c r="HD59" s="223"/>
      <c r="HE59" s="223"/>
      <c r="HF59" s="223"/>
      <c r="HG59" s="223"/>
      <c r="HH59" s="223"/>
      <c r="HI59" s="223"/>
      <c r="HJ59" s="223"/>
      <c r="HK59" s="223"/>
      <c r="HL59" s="223"/>
      <c r="HM59" s="223"/>
      <c r="HN59" s="223"/>
      <c r="HO59" s="223"/>
      <c r="HP59" s="223"/>
      <c r="HQ59" s="223"/>
      <c r="HR59" s="223"/>
      <c r="HS59" s="223"/>
      <c r="HT59" s="223"/>
      <c r="HU59" s="223"/>
      <c r="HV59" s="223"/>
      <c r="HW59" s="223"/>
      <c r="HX59" s="223"/>
      <c r="HY59" s="223"/>
      <c r="HZ59" s="223"/>
      <c r="IA59" s="223"/>
      <c r="IB59" s="223"/>
      <c r="IC59" s="223"/>
      <c r="ID59" s="223"/>
      <c r="IE59" s="223"/>
      <c r="IF59" s="223"/>
      <c r="IG59" s="225"/>
      <c r="IH59" s="223"/>
      <c r="II59" s="223"/>
      <c r="IJ59" s="225"/>
      <c r="IK59" s="223"/>
      <c r="IL59" s="223"/>
      <c r="IM59" s="225">
        <f>'План и исполнение'!IY37</f>
        <v>10880027.660000002</v>
      </c>
      <c r="IN59" s="225"/>
      <c r="IO59" s="225"/>
      <c r="IP59" s="225">
        <f>'План и исполнение'!JB37</f>
        <v>9531874.1100000013</v>
      </c>
      <c r="IQ59" s="225"/>
      <c r="IR59" s="225"/>
      <c r="IS59" s="223"/>
      <c r="IT59" s="223"/>
      <c r="IU59" s="223"/>
      <c r="IV59" s="223"/>
      <c r="IW59" s="223"/>
      <c r="IX59" s="223"/>
      <c r="JK59" s="907">
        <f t="shared" si="568"/>
        <v>0</v>
      </c>
      <c r="JL59" s="1008"/>
      <c r="JN59" s="907">
        <f t="shared" si="570"/>
        <v>0</v>
      </c>
      <c r="JO59" s="1008"/>
      <c r="JQ59" s="1015">
        <f>SUM(JR59:JU59)</f>
        <v>0</v>
      </c>
      <c r="JR59" s="223"/>
      <c r="JS59" s="223"/>
      <c r="JT59" s="223"/>
      <c r="JU59" s="223"/>
      <c r="JV59" s="1015">
        <f>SUM(JW59:JZ59)</f>
        <v>0</v>
      </c>
      <c r="JW59" s="223"/>
      <c r="JX59" s="223"/>
      <c r="JY59" s="223"/>
      <c r="JZ59" s="223"/>
      <c r="KA59" s="1015">
        <f>SUM(KB59:KE59)</f>
        <v>0</v>
      </c>
      <c r="KB59" s="223"/>
      <c r="KC59" s="223"/>
      <c r="KD59" s="223"/>
      <c r="KE59" s="223"/>
      <c r="KF59" s="1015">
        <f>SUM(KG59:KJ59)</f>
        <v>0</v>
      </c>
      <c r="KG59" s="223"/>
      <c r="KH59" s="223"/>
      <c r="KI59" s="223"/>
      <c r="KJ59" s="223"/>
      <c r="KK59" s="223"/>
      <c r="KL59" s="223"/>
      <c r="KM59" s="223"/>
      <c r="KN59" s="223"/>
      <c r="KO59" s="223"/>
      <c r="KP59" s="223"/>
      <c r="KQ59" s="223"/>
      <c r="KR59" s="223"/>
      <c r="KS59" s="223"/>
      <c r="KT59" s="223"/>
      <c r="KU59" s="223"/>
      <c r="KV59" s="223"/>
      <c r="KW59" s="223"/>
      <c r="KX59" s="223"/>
      <c r="KY59" s="223"/>
      <c r="KZ59" s="223"/>
      <c r="LA59" s="223"/>
      <c r="LB59" s="223"/>
      <c r="LC59" s="223"/>
      <c r="LD59" s="223"/>
      <c r="LE59" s="223"/>
      <c r="LF59" s="223"/>
      <c r="LG59" s="223"/>
      <c r="LH59" s="223"/>
      <c r="LI59" s="223"/>
      <c r="LJ59" s="223"/>
      <c r="LK59" s="223"/>
      <c r="LL59" s="223"/>
      <c r="LM59"/>
      <c r="LN59"/>
      <c r="LO59"/>
      <c r="LP59"/>
      <c r="LQ59"/>
      <c r="LR59"/>
      <c r="LS59"/>
      <c r="LT59" s="223"/>
      <c r="LU59" s="223"/>
      <c r="LV59"/>
      <c r="LW59"/>
      <c r="LX59"/>
      <c r="LY59" s="223"/>
      <c r="LZ59" s="223"/>
      <c r="MA59"/>
      <c r="MB59"/>
      <c r="MC59"/>
      <c r="MD59"/>
      <c r="ME59"/>
      <c r="MF59"/>
      <c r="MG59"/>
      <c r="MH59"/>
      <c r="MI59"/>
      <c r="MJ59"/>
      <c r="MK59"/>
      <c r="ML59"/>
      <c r="MM59"/>
      <c r="MN59"/>
      <c r="MO59"/>
      <c r="MP59"/>
      <c r="MQ59"/>
      <c r="MR59"/>
      <c r="MS59"/>
      <c r="MT59"/>
      <c r="MU59"/>
      <c r="MV59"/>
      <c r="MW59"/>
      <c r="MX59"/>
      <c r="MY59"/>
      <c r="MZ59"/>
      <c r="NA59"/>
      <c r="NB59"/>
      <c r="NC59"/>
      <c r="ND59"/>
      <c r="NE59"/>
      <c r="NF59"/>
      <c r="NG59"/>
      <c r="NH59"/>
      <c r="NI59"/>
      <c r="NJ59"/>
      <c r="NK59"/>
      <c r="NL59"/>
      <c r="NM59"/>
      <c r="NN59"/>
      <c r="NO59"/>
      <c r="NP59"/>
      <c r="NQ59"/>
      <c r="NR59"/>
      <c r="NS59"/>
      <c r="NT59"/>
      <c r="NU59"/>
      <c r="NV59"/>
      <c r="NW59"/>
      <c r="NX59"/>
      <c r="NY59" s="223"/>
      <c r="NZ59" s="223"/>
      <c r="OA59" s="223"/>
      <c r="OB59" s="223"/>
      <c r="OC59" s="223"/>
      <c r="OD59" s="223"/>
      <c r="OE59" s="223"/>
      <c r="OF59" s="223"/>
      <c r="OG59" s="223"/>
      <c r="OH59" s="223"/>
      <c r="OI59" s="223"/>
      <c r="OJ59" s="223"/>
      <c r="OK59" s="223"/>
      <c r="OL59" s="223"/>
      <c r="OM59" s="223"/>
      <c r="ON59" s="223"/>
      <c r="OO59" s="223"/>
      <c r="OP59" s="223"/>
      <c r="OQ59" s="223"/>
      <c r="OR59" s="223"/>
      <c r="OS59" s="223"/>
      <c r="OT59" s="223"/>
      <c r="OU59" s="223"/>
      <c r="OV59" s="223"/>
      <c r="OW59" s="223"/>
      <c r="OX59" s="223"/>
      <c r="OY59" s="223"/>
      <c r="OZ59" s="223"/>
      <c r="PA59" s="223"/>
      <c r="PB59" s="223"/>
      <c r="PC59" s="223"/>
      <c r="PD59" s="223"/>
      <c r="PE59" s="223"/>
      <c r="PF59" s="223"/>
      <c r="PG59" s="223"/>
      <c r="PH59" s="223"/>
      <c r="PI59" s="223"/>
      <c r="PJ59" s="223"/>
      <c r="PK59" s="223"/>
      <c r="PL59" s="223"/>
      <c r="PM59" s="223"/>
      <c r="PN59" s="223"/>
      <c r="PO59" s="223"/>
      <c r="PP59" s="223"/>
      <c r="PQ59" s="223"/>
      <c r="PR59" s="223"/>
      <c r="PS59" s="223"/>
      <c r="PT59" s="223"/>
      <c r="PU59" s="223"/>
      <c r="PV59" s="223"/>
      <c r="PW59" s="223"/>
      <c r="PX59" s="223"/>
      <c r="PY59" s="223"/>
      <c r="PZ59" s="223"/>
      <c r="QA59" s="223"/>
      <c r="QB59" s="223"/>
      <c r="QC59" s="223"/>
      <c r="QD59" s="223"/>
      <c r="QE59" s="223"/>
      <c r="QF59" s="223"/>
      <c r="QG59" s="223"/>
      <c r="QH59" s="223"/>
      <c r="QI59" s="223"/>
      <c r="QJ59" s="223"/>
      <c r="QK59" s="223"/>
      <c r="QL59" s="223"/>
      <c r="QM59" s="223"/>
      <c r="QN59" s="223"/>
      <c r="QO59" s="223"/>
      <c r="QP59" s="223"/>
      <c r="QQ59" s="223"/>
      <c r="QR59" s="223"/>
      <c r="QS59" s="223"/>
      <c r="QT59" s="223"/>
      <c r="QU59" s="223"/>
      <c r="QV59" s="223"/>
      <c r="QW59" s="223"/>
      <c r="QX59" s="223"/>
      <c r="QY59" s="223"/>
      <c r="QZ59" s="223"/>
      <c r="RA59" s="223"/>
      <c r="RB59" s="223"/>
      <c r="RC59" s="223"/>
      <c r="RD59" s="223"/>
      <c r="RE59" s="223"/>
      <c r="RF59" s="223"/>
      <c r="RG59" s="223"/>
      <c r="RH59" s="223"/>
      <c r="RI59" s="223"/>
      <c r="RJ59" s="223"/>
      <c r="RK59" s="223"/>
      <c r="RL59" s="223"/>
      <c r="RM59" s="223"/>
      <c r="RN59" s="223"/>
      <c r="RO59" s="223"/>
      <c r="RP59" s="223"/>
      <c r="RQ59" s="223"/>
      <c r="RR59" s="223"/>
      <c r="RS59" s="223"/>
      <c r="RT59" s="223"/>
      <c r="RU59" s="223"/>
      <c r="RV59" s="223"/>
      <c r="RW59" s="223"/>
      <c r="RX59" s="223"/>
      <c r="RY59" s="223"/>
      <c r="RZ59" s="223"/>
      <c r="SA59" s="223"/>
      <c r="SB59" s="223"/>
      <c r="SC59" s="223"/>
      <c r="SD59" s="223"/>
      <c r="SE59" s="223"/>
      <c r="SF59" s="223"/>
      <c r="SG59" s="223"/>
      <c r="SH59" s="223"/>
      <c r="SI59" s="223"/>
      <c r="SJ59" s="223"/>
      <c r="SK59" s="223"/>
      <c r="SL59" s="223"/>
      <c r="SM59" s="223"/>
      <c r="SN59" s="223"/>
      <c r="SO59" s="223"/>
      <c r="SP59" s="223"/>
      <c r="SQ59" s="223"/>
      <c r="SR59" s="223"/>
      <c r="SS59" s="223"/>
      <c r="ST59" s="223"/>
      <c r="SU59" s="223"/>
      <c r="SV59" s="223"/>
      <c r="SW59" s="223"/>
      <c r="SX59" s="223"/>
      <c r="SY59" s="223"/>
      <c r="SZ59" s="223"/>
      <c r="TA59" s="223"/>
      <c r="TB59" s="223"/>
      <c r="TC59" s="223"/>
      <c r="TD59" s="223"/>
      <c r="TE59" s="223"/>
      <c r="TF59" s="223"/>
      <c r="TG59" s="223"/>
      <c r="TH59" s="223"/>
      <c r="TI59" s="223"/>
      <c r="TJ59" s="223"/>
      <c r="TK59" s="223"/>
      <c r="TL59" s="223"/>
      <c r="TM59" s="223"/>
      <c r="TN59" s="223"/>
      <c r="TO59" s="223"/>
      <c r="TP59" s="223"/>
      <c r="TQ59" s="223"/>
      <c r="TR59" s="223"/>
      <c r="TS59" s="223"/>
      <c r="TT59" s="223"/>
      <c r="TU59" s="223"/>
      <c r="TV59" s="223"/>
      <c r="TW59" s="223"/>
      <c r="TX59" s="223"/>
      <c r="TY59" s="223"/>
      <c r="TZ59" s="223"/>
      <c r="UA59" s="223"/>
      <c r="UB59" s="223"/>
      <c r="UC59" s="223"/>
      <c r="UD59" s="223"/>
      <c r="UE59" s="223"/>
      <c r="UF59" s="223"/>
      <c r="UG59" s="223"/>
      <c r="UH59" s="223"/>
      <c r="UI59" s="223"/>
      <c r="UJ59" s="223"/>
      <c r="UK59" s="223"/>
      <c r="UL59" s="223"/>
      <c r="UM59" s="223"/>
      <c r="UN59" s="223"/>
      <c r="UO59" s="223"/>
      <c r="UP59" s="223"/>
      <c r="UQ59" s="223"/>
      <c r="UR59" s="223"/>
      <c r="US59" s="223"/>
      <c r="UT59" s="223"/>
      <c r="UU59" s="223"/>
      <c r="UV59" s="223"/>
      <c r="UW59" s="223"/>
      <c r="UX59" s="223"/>
      <c r="UY59" s="223"/>
      <c r="UZ59" s="223"/>
      <c r="VA59" s="223"/>
      <c r="VB59" s="223"/>
      <c r="VC59" s="223"/>
      <c r="VD59" s="223"/>
      <c r="VE59" s="223"/>
      <c r="VF59" s="223"/>
      <c r="VG59" s="223"/>
      <c r="VH59" s="223"/>
      <c r="VI59" s="223"/>
      <c r="VJ59" s="223"/>
      <c r="VK59" s="223"/>
      <c r="VL59" s="223"/>
      <c r="VM59" s="223"/>
      <c r="VN59" s="223"/>
      <c r="VO59" s="223"/>
      <c r="VP59" s="223"/>
      <c r="VQ59" s="223"/>
      <c r="VR59" s="223"/>
      <c r="VS59" s="223"/>
      <c r="VT59" s="223"/>
      <c r="VU59" s="223"/>
      <c r="VV59" s="223"/>
      <c r="VW59" s="223"/>
      <c r="VX59" s="223"/>
      <c r="VY59" s="223"/>
      <c r="VZ59" s="223"/>
      <c r="WA59" s="223"/>
      <c r="WB59" s="223"/>
      <c r="WC59" s="223"/>
      <c r="WD59" s="223"/>
      <c r="WE59" s="223"/>
      <c r="WF59" s="223"/>
      <c r="WG59" s="223"/>
      <c r="WH59" s="223"/>
      <c r="WI59" s="223"/>
      <c r="WJ59" s="223"/>
      <c r="WK59" s="223"/>
      <c r="WL59" s="223"/>
      <c r="WM59" s="223"/>
      <c r="WN59" s="223"/>
    </row>
    <row r="60" spans="1:612" s="1014" customFormat="1" x14ac:dyDescent="0.3">
      <c r="A60" s="1007" t="s">
        <v>59</v>
      </c>
      <c r="B60" s="1010">
        <f>CQ60+CY60+DM60+IG60+IM60+JQ60+KA60+'План и исполнение'!LE60+'Прочая  субсидия_БП'!F29+BS60+CA60+AU60+AK60</f>
        <v>190025197.46999997</v>
      </c>
      <c r="C60" s="1010">
        <f>CR60+CZ60+DU60+IJ60+IP60+JV60+KF60+'План и исполнение'!LK60+'Прочая  субсидия_МР  и  ГО'!C49+'Прочая  субсидия_БП'!G29+BW60+CE60+AY60+AP60</f>
        <v>59969651.600000001</v>
      </c>
      <c r="D60" s="1179">
        <f t="shared" si="572"/>
        <v>190025.19746999996</v>
      </c>
      <c r="E60" s="1179">
        <f t="shared" si="572"/>
        <v>59969.651600000005</v>
      </c>
      <c r="F60" s="223"/>
      <c r="G60" s="223"/>
      <c r="H60" s="223"/>
      <c r="I60" s="223"/>
      <c r="J60" s="223"/>
      <c r="K60" s="223"/>
      <c r="L60" s="223"/>
      <c r="M60" s="223"/>
      <c r="N60" s="223"/>
      <c r="O60" s="223"/>
      <c r="P60" s="223"/>
      <c r="Q60" s="223"/>
      <c r="R60" s="223"/>
      <c r="S60" s="223"/>
      <c r="T60" s="223"/>
      <c r="U60" s="223"/>
      <c r="V60" s="223"/>
      <c r="W60" s="223"/>
      <c r="X60" s="223"/>
      <c r="Y60" s="223"/>
      <c r="Z60" s="223"/>
      <c r="AA60" s="223"/>
      <c r="AB60" s="223"/>
      <c r="AC60" s="223"/>
      <c r="AD60" s="223"/>
      <c r="AE60" s="223"/>
      <c r="AF60" s="223"/>
      <c r="AG60" s="223"/>
      <c r="AH60" s="223"/>
      <c r="AI60" s="223"/>
      <c r="AJ60" s="223"/>
      <c r="AK60" s="907">
        <f t="shared" si="562"/>
        <v>0</v>
      </c>
      <c r="AL60" s="1017"/>
      <c r="AM60" s="223"/>
      <c r="AN60" s="223"/>
      <c r="AO60" s="1017"/>
      <c r="AP60" s="907">
        <f t="shared" si="563"/>
        <v>0</v>
      </c>
      <c r="AQ60" s="1017"/>
      <c r="AR60" s="223"/>
      <c r="AS60" s="223"/>
      <c r="AT60" s="1017"/>
      <c r="AU60" s="907">
        <f t="shared" si="565"/>
        <v>0</v>
      </c>
      <c r="AV60" s="1017">
        <f>BL37</f>
        <v>0</v>
      </c>
      <c r="AW60" s="223"/>
      <c r="AX60" s="1017">
        <f>BN37</f>
        <v>0</v>
      </c>
      <c r="AY60" s="907">
        <f t="shared" si="567"/>
        <v>0</v>
      </c>
      <c r="AZ60" s="1017">
        <f>BP37</f>
        <v>0</v>
      </c>
      <c r="BA60" s="223"/>
      <c r="BB60" s="1017">
        <f>BR37</f>
        <v>0</v>
      </c>
      <c r="BC60" s="223"/>
      <c r="BD60" s="223"/>
      <c r="BE60" s="223"/>
      <c r="BF60" s="223"/>
      <c r="BG60" s="223"/>
      <c r="BH60" s="223"/>
      <c r="BI60" s="223"/>
      <c r="BJ60" s="223"/>
      <c r="BK60" s="223"/>
      <c r="BL60" s="223"/>
      <c r="BM60" s="223"/>
      <c r="BN60" s="223"/>
      <c r="BO60" s="223"/>
      <c r="BP60" s="223"/>
      <c r="BQ60" s="223"/>
      <c r="BR60" s="223"/>
      <c r="BS60" s="225"/>
      <c r="BT60" s="223"/>
      <c r="BU60" s="223"/>
      <c r="BV60"/>
      <c r="BW60" s="225"/>
      <c r="BX60" s="223"/>
      <c r="BY60" s="223"/>
      <c r="BZ60"/>
      <c r="CA60" s="225">
        <f>CB37</f>
        <v>59445206.030000001</v>
      </c>
      <c r="CB60" s="223"/>
      <c r="CC60" s="223"/>
      <c r="CD60"/>
      <c r="CE60" s="225">
        <f>CF37</f>
        <v>673915.95</v>
      </c>
      <c r="CF60" s="223"/>
      <c r="CG60" s="223"/>
      <c r="CH60"/>
      <c r="CI60" s="223"/>
      <c r="CJ60" s="223"/>
      <c r="CK60" s="223"/>
      <c r="CL60" s="223"/>
      <c r="CM60" s="223"/>
      <c r="CN60" s="223"/>
      <c r="CO60" s="223"/>
      <c r="CP60" s="223"/>
      <c r="CQ60" s="225">
        <f>CW37</f>
        <v>96570468.639999986</v>
      </c>
      <c r="CR60" s="225">
        <f>CX37</f>
        <v>44734097.120000005</v>
      </c>
      <c r="CS60" s="223"/>
      <c r="CT60" s="223"/>
      <c r="CU60" s="223"/>
      <c r="CV60" s="223"/>
      <c r="CW60" s="223"/>
      <c r="CX60" s="223"/>
      <c r="CY60" s="225">
        <f>DE37</f>
        <v>27687361.609999999</v>
      </c>
      <c r="CZ60" s="225">
        <f>DF37</f>
        <v>9135837.7699999996</v>
      </c>
      <c r="DA60" s="223"/>
      <c r="DB60" s="223"/>
      <c r="DC60" s="223"/>
      <c r="DD60" s="223"/>
      <c r="DE60" s="223"/>
      <c r="DF60" s="223"/>
      <c r="DG60" s="907"/>
      <c r="DH60" s="237"/>
      <c r="DI60" s="237"/>
      <c r="DJ60" s="907"/>
      <c r="DK60" s="223"/>
      <c r="DL60" s="223"/>
      <c r="DM60" s="225"/>
      <c r="DN60" s="223"/>
      <c r="DO60" s="223"/>
      <c r="DP60" s="223"/>
      <c r="DQ60" s="223"/>
      <c r="DR60" s="223"/>
      <c r="DS60" s="223"/>
      <c r="DT60" s="223"/>
      <c r="DU60" s="225"/>
      <c r="DV60" s="223"/>
      <c r="DW60" s="223"/>
      <c r="DX60" s="223"/>
      <c r="DY60" s="223"/>
      <c r="DZ60" s="223"/>
      <c r="EA60" s="223"/>
      <c r="EB60" s="223"/>
      <c r="EC60" s="223"/>
      <c r="ED60" s="223"/>
      <c r="EE60" s="223"/>
      <c r="EF60" s="223"/>
      <c r="EG60" s="223"/>
      <c r="EH60" s="223"/>
      <c r="EI60" s="223"/>
      <c r="EJ60" s="223"/>
      <c r="EK60" s="223"/>
      <c r="EL60" s="223"/>
      <c r="EM60" s="223"/>
      <c r="EN60" s="223"/>
      <c r="EO60" s="223"/>
      <c r="EP60" s="223"/>
      <c r="EQ60" s="223"/>
      <c r="ER60" s="223"/>
      <c r="ES60" s="223"/>
      <c r="ET60" s="223"/>
      <c r="EU60" s="223"/>
      <c r="EV60" s="223"/>
      <c r="EW60" s="223"/>
      <c r="EX60" s="223"/>
      <c r="EY60" s="223"/>
      <c r="EZ60" s="223"/>
      <c r="FA60" s="223"/>
      <c r="FB60" s="223"/>
      <c r="FC60" s="223"/>
      <c r="FD60" s="223"/>
      <c r="FE60" s="223"/>
      <c r="FF60" s="223"/>
      <c r="FG60" s="223"/>
      <c r="FH60" s="223"/>
      <c r="FI60" s="223"/>
      <c r="FJ60" s="223"/>
      <c r="FK60" s="223"/>
      <c r="FL60" s="223"/>
      <c r="FM60" s="223"/>
      <c r="FN60" s="223"/>
      <c r="FO60" s="223"/>
      <c r="FP60" s="223"/>
      <c r="FQ60" s="223"/>
      <c r="FR60" s="223"/>
      <c r="FS60" s="223"/>
      <c r="FT60" s="223"/>
      <c r="FU60" s="223"/>
      <c r="FV60" s="223"/>
      <c r="FW60" s="223"/>
      <c r="FX60" s="223"/>
      <c r="FY60" s="223"/>
      <c r="FZ60" s="223"/>
      <c r="GA60" s="223"/>
      <c r="GB60" s="223"/>
      <c r="GC60" s="223"/>
      <c r="GD60" s="223"/>
      <c r="GE60" s="223"/>
      <c r="GF60" s="223"/>
      <c r="GG60" s="223"/>
      <c r="GH60" s="223"/>
      <c r="GI60" s="223"/>
      <c r="GJ60" s="223"/>
      <c r="GK60" s="223"/>
      <c r="GL60" s="223"/>
      <c r="GM60" s="223"/>
      <c r="GN60" s="223"/>
      <c r="GO60" s="223"/>
      <c r="GP60" s="223"/>
      <c r="GQ60" s="223"/>
      <c r="GR60" s="223"/>
      <c r="GS60" s="223"/>
      <c r="GT60" s="223"/>
      <c r="GU60" s="223"/>
      <c r="GV60" s="223"/>
      <c r="GW60" s="223"/>
      <c r="GX60" s="223"/>
      <c r="GY60" s="223"/>
      <c r="GZ60" s="223"/>
      <c r="HA60" s="223"/>
      <c r="HB60" s="223"/>
      <c r="HC60" s="223"/>
      <c r="HD60" s="223"/>
      <c r="HE60" s="223"/>
      <c r="HF60" s="223"/>
      <c r="HG60" s="223"/>
      <c r="HH60" s="223"/>
      <c r="HI60" s="223"/>
      <c r="HJ60" s="223"/>
      <c r="HK60" s="223"/>
      <c r="HL60" s="223"/>
      <c r="HM60" s="223"/>
      <c r="HN60" s="223"/>
      <c r="HO60" s="223"/>
      <c r="HP60" s="223"/>
      <c r="HQ60" s="223"/>
      <c r="HR60" s="223"/>
      <c r="HS60" s="223"/>
      <c r="HT60" s="223"/>
      <c r="HU60" s="223"/>
      <c r="HV60" s="223"/>
      <c r="HW60" s="223"/>
      <c r="HX60" s="223"/>
      <c r="HY60" s="223"/>
      <c r="HZ60" s="223"/>
      <c r="IA60" s="223"/>
      <c r="IB60" s="223"/>
      <c r="IC60" s="223"/>
      <c r="ID60" s="223"/>
      <c r="IE60" s="223"/>
      <c r="IF60" s="223"/>
      <c r="IG60" s="225"/>
      <c r="IH60" s="223"/>
      <c r="II60" s="223"/>
      <c r="IJ60" s="225"/>
      <c r="IK60" s="223"/>
      <c r="IL60" s="223"/>
      <c r="IM60" s="225">
        <f>'План и исполнение'!JE37</f>
        <v>4153251.71</v>
      </c>
      <c r="IN60" s="225"/>
      <c r="IO60" s="225"/>
      <c r="IP60" s="225">
        <f>'План и исполнение'!JH37</f>
        <v>3256891.2800000003</v>
      </c>
      <c r="IQ60" s="225"/>
      <c r="IR60" s="225"/>
      <c r="IS60" s="223"/>
      <c r="IT60" s="223"/>
      <c r="IU60" s="223"/>
      <c r="IV60" s="223"/>
      <c r="IW60" s="223"/>
      <c r="IX60" s="223"/>
      <c r="JK60" s="907">
        <f t="shared" si="568"/>
        <v>0</v>
      </c>
      <c r="JL60" s="1008"/>
      <c r="JN60" s="907">
        <f t="shared" si="570"/>
        <v>0</v>
      </c>
      <c r="JO60" s="1008"/>
      <c r="JQ60" s="1015">
        <f>SUM(JR60:JU60)</f>
        <v>0</v>
      </c>
      <c r="JR60" s="223"/>
      <c r="JS60" s="223"/>
      <c r="JT60" s="223"/>
      <c r="JU60" s="223"/>
      <c r="JV60" s="1015">
        <f>SUM(JW60:JZ60)</f>
        <v>0</v>
      </c>
      <c r="JW60" s="223"/>
      <c r="JX60" s="223"/>
      <c r="JY60" s="223"/>
      <c r="JZ60" s="223"/>
      <c r="KA60" s="1015">
        <f>SUM(KB60:KE60)</f>
        <v>0</v>
      </c>
      <c r="KB60" s="223"/>
      <c r="KC60" s="223"/>
      <c r="KD60" s="223"/>
      <c r="KE60" s="223"/>
      <c r="KF60" s="1015">
        <f>SUM(KG60:KJ60)</f>
        <v>0</v>
      </c>
      <c r="KG60" s="223"/>
      <c r="KH60" s="223"/>
      <c r="KI60" s="223"/>
      <c r="KJ60" s="223"/>
      <c r="KK60" s="223"/>
      <c r="KL60" s="223"/>
      <c r="KM60" s="223"/>
      <c r="KN60" s="223"/>
      <c r="KO60" s="223"/>
      <c r="KP60" s="223"/>
      <c r="KQ60" s="223"/>
      <c r="KR60" s="223"/>
      <c r="KS60" s="223"/>
      <c r="KT60" s="223"/>
      <c r="KU60" s="223"/>
      <c r="KV60" s="223"/>
      <c r="KW60" s="223"/>
      <c r="KX60" s="223"/>
      <c r="KY60" s="223"/>
      <c r="KZ60" s="223"/>
      <c r="LA60" s="223"/>
      <c r="LB60" s="223"/>
      <c r="LC60" s="223"/>
      <c r="LD60" s="223"/>
      <c r="LE60" s="223"/>
      <c r="LF60" s="223"/>
      <c r="LG60" s="223"/>
      <c r="LH60" s="223"/>
      <c r="LI60" s="223"/>
      <c r="LJ60" s="223"/>
      <c r="LK60" s="223"/>
      <c r="LL60" s="223"/>
      <c r="LM60"/>
      <c r="LN60"/>
      <c r="LO60"/>
      <c r="LP60"/>
      <c r="LQ60"/>
      <c r="LR60"/>
      <c r="LS60"/>
      <c r="LT60" s="223"/>
      <c r="LU60" s="223"/>
      <c r="LV60"/>
      <c r="LW60"/>
      <c r="LX60"/>
      <c r="LY60" s="223"/>
      <c r="LZ60" s="223"/>
      <c r="MA60"/>
      <c r="MB60"/>
      <c r="MC60"/>
      <c r="MD60"/>
      <c r="ME60"/>
      <c r="MF60"/>
      <c r="MG60"/>
      <c r="MH60"/>
      <c r="MI60"/>
      <c r="MJ60"/>
      <c r="MK60"/>
      <c r="ML60"/>
      <c r="MM60"/>
      <c r="MN60"/>
      <c r="MO60"/>
      <c r="MP60"/>
      <c r="MQ60"/>
      <c r="MR60"/>
      <c r="MS60"/>
      <c r="MT60"/>
      <c r="MU60"/>
      <c r="MV60"/>
      <c r="MW60"/>
      <c r="MX60"/>
      <c r="MY60"/>
      <c r="MZ60"/>
      <c r="NA60"/>
      <c r="NB60"/>
      <c r="NC60"/>
      <c r="ND60"/>
      <c r="NE60"/>
      <c r="NF60"/>
      <c r="NG60"/>
      <c r="NH60"/>
      <c r="NI60"/>
      <c r="NJ60"/>
      <c r="NK60"/>
      <c r="NL60"/>
      <c r="NM60"/>
      <c r="NN60"/>
      <c r="NO60"/>
      <c r="NP60"/>
      <c r="NQ60"/>
      <c r="NR60"/>
      <c r="NS60"/>
      <c r="NT60"/>
      <c r="NU60"/>
      <c r="NV60"/>
      <c r="NW60"/>
      <c r="NX60"/>
      <c r="NY60" s="223"/>
      <c r="NZ60" s="223"/>
      <c r="OA60" s="223"/>
      <c r="OB60" s="223"/>
      <c r="OC60" s="223"/>
      <c r="OD60" s="223"/>
      <c r="OE60" s="223"/>
      <c r="OF60" s="223"/>
      <c r="OG60" s="223"/>
      <c r="OH60" s="223"/>
      <c r="OI60" s="223"/>
      <c r="OJ60" s="223"/>
      <c r="OK60" s="223"/>
      <c r="OL60" s="223"/>
      <c r="OM60" s="223"/>
      <c r="ON60" s="223"/>
      <c r="OO60" s="223"/>
      <c r="OP60" s="223"/>
      <c r="OQ60" s="223"/>
      <c r="OR60" s="223"/>
      <c r="OS60" s="223"/>
      <c r="OT60" s="223"/>
      <c r="OU60" s="223"/>
      <c r="OV60" s="223"/>
      <c r="OW60" s="223"/>
      <c r="OX60" s="223"/>
      <c r="OY60" s="223"/>
      <c r="OZ60" s="223"/>
      <c r="PA60" s="223"/>
      <c r="PB60" s="223"/>
      <c r="PC60" s="223"/>
      <c r="PD60" s="223"/>
      <c r="PE60" s="223"/>
      <c r="PF60" s="223"/>
      <c r="PG60" s="223"/>
      <c r="PH60" s="223"/>
      <c r="PI60" s="223"/>
      <c r="PJ60" s="223"/>
      <c r="PK60" s="223"/>
      <c r="PL60" s="223"/>
      <c r="PM60" s="223"/>
      <c r="PN60" s="223"/>
      <c r="PO60" s="223"/>
      <c r="PP60" s="223"/>
      <c r="PQ60" s="223"/>
      <c r="PR60" s="223"/>
      <c r="PS60" s="223"/>
      <c r="PT60" s="223"/>
      <c r="PU60" s="223"/>
      <c r="PV60" s="223"/>
      <c r="PW60" s="223"/>
      <c r="PX60" s="223"/>
      <c r="PY60" s="223"/>
      <c r="PZ60" s="223"/>
      <c r="QA60" s="223"/>
      <c r="QB60" s="223"/>
      <c r="QC60" s="223"/>
      <c r="QD60" s="223"/>
      <c r="QE60" s="223"/>
      <c r="QF60" s="223"/>
      <c r="QG60" s="223"/>
      <c r="QH60" s="223"/>
      <c r="QI60" s="223"/>
      <c r="QJ60" s="223"/>
      <c r="QK60" s="223"/>
      <c r="QL60" s="223"/>
      <c r="QM60" s="223"/>
      <c r="QN60" s="223"/>
      <c r="QO60" s="223"/>
      <c r="QP60" s="223"/>
      <c r="QQ60" s="223"/>
      <c r="QR60" s="223"/>
      <c r="QS60" s="223"/>
      <c r="QT60" s="223"/>
      <c r="QU60" s="223"/>
      <c r="QV60" s="223"/>
      <c r="QW60" s="223"/>
      <c r="QX60" s="223"/>
      <c r="QY60" s="223"/>
      <c r="QZ60" s="223"/>
      <c r="RA60" s="223"/>
      <c r="RB60" s="223"/>
      <c r="RC60" s="223"/>
      <c r="RD60" s="223"/>
      <c r="RE60" s="223"/>
      <c r="RF60" s="223"/>
      <c r="RG60" s="223"/>
      <c r="RH60" s="223"/>
      <c r="RI60" s="223"/>
      <c r="RJ60" s="223"/>
      <c r="RK60" s="223"/>
      <c r="RL60" s="223"/>
      <c r="RM60" s="223"/>
      <c r="RN60" s="223"/>
      <c r="RO60" s="223"/>
      <c r="RP60" s="223"/>
      <c r="RQ60" s="223"/>
      <c r="RR60" s="223"/>
      <c r="RS60" s="223"/>
      <c r="RT60" s="223"/>
      <c r="RU60" s="223"/>
      <c r="RV60" s="223"/>
      <c r="RW60" s="223"/>
      <c r="RX60" s="223"/>
      <c r="RY60" s="223"/>
      <c r="RZ60" s="223"/>
      <c r="SA60" s="223"/>
      <c r="SB60" s="223"/>
      <c r="SC60" s="223"/>
      <c r="SD60" s="223"/>
      <c r="SE60" s="223"/>
      <c r="SF60" s="223"/>
      <c r="SG60" s="223"/>
      <c r="SH60" s="223"/>
      <c r="SI60" s="223"/>
      <c r="SJ60" s="223"/>
      <c r="SK60" s="223"/>
      <c r="SL60" s="223"/>
      <c r="SM60" s="223"/>
      <c r="SN60" s="223"/>
      <c r="SO60" s="223"/>
      <c r="SP60" s="223"/>
      <c r="SQ60" s="223"/>
      <c r="SR60" s="223"/>
      <c r="SS60" s="223"/>
      <c r="ST60" s="223"/>
      <c r="SU60" s="223"/>
      <c r="SV60" s="223"/>
      <c r="SW60" s="223"/>
      <c r="SX60" s="223"/>
      <c r="SY60" s="223"/>
      <c r="SZ60" s="223"/>
      <c r="TA60" s="223"/>
      <c r="TB60" s="223"/>
      <c r="TC60" s="223"/>
      <c r="TD60" s="223"/>
      <c r="TE60" s="223"/>
      <c r="TF60" s="223"/>
      <c r="TG60" s="223"/>
      <c r="TH60" s="223"/>
      <c r="TI60" s="223"/>
      <c r="TJ60" s="223"/>
      <c r="TK60" s="223"/>
      <c r="TL60" s="223"/>
      <c r="TM60" s="223"/>
      <c r="TN60" s="223"/>
      <c r="TO60" s="223"/>
      <c r="TP60" s="223"/>
      <c r="TQ60" s="223"/>
      <c r="TR60" s="223"/>
      <c r="TS60" s="223"/>
      <c r="TT60" s="223"/>
      <c r="TU60" s="223"/>
      <c r="TV60" s="223"/>
      <c r="TW60" s="223"/>
      <c r="TX60" s="223"/>
      <c r="TY60" s="223"/>
      <c r="TZ60" s="223"/>
      <c r="UA60" s="223"/>
      <c r="UB60" s="223"/>
      <c r="UC60" s="223"/>
      <c r="UD60" s="223"/>
      <c r="UE60" s="223"/>
      <c r="UF60" s="223"/>
      <c r="UG60" s="223"/>
      <c r="UH60" s="223"/>
      <c r="UI60" s="223"/>
      <c r="UJ60" s="223"/>
      <c r="UK60" s="223"/>
      <c r="UL60" s="223"/>
      <c r="UM60" s="223"/>
      <c r="UN60" s="223"/>
      <c r="UO60" s="223"/>
      <c r="UP60" s="223"/>
      <c r="UQ60" s="223"/>
      <c r="UR60" s="223"/>
      <c r="US60" s="223"/>
      <c r="UT60" s="223"/>
      <c r="UU60" s="223"/>
      <c r="UV60" s="223"/>
      <c r="UW60" s="223"/>
      <c r="UX60" s="223"/>
      <c r="UY60" s="223"/>
      <c r="UZ60" s="223"/>
      <c r="VA60" s="223"/>
      <c r="VB60" s="223"/>
      <c r="VC60" s="223"/>
      <c r="VD60" s="223"/>
      <c r="VE60" s="223"/>
      <c r="VF60" s="223"/>
      <c r="VG60" s="223"/>
      <c r="VH60" s="223"/>
      <c r="VI60" s="223"/>
      <c r="VJ60" s="223"/>
      <c r="VK60" s="223"/>
      <c r="VL60" s="223"/>
      <c r="VM60" s="223"/>
      <c r="VN60" s="223"/>
      <c r="VO60" s="223"/>
      <c r="VP60" s="223"/>
      <c r="VQ60" s="223"/>
      <c r="VR60" s="223"/>
      <c r="VS60" s="223"/>
      <c r="VT60" s="223"/>
      <c r="VU60" s="223"/>
      <c r="VV60" s="223"/>
      <c r="VW60" s="223"/>
      <c r="VX60" s="223"/>
      <c r="VY60" s="223"/>
      <c r="VZ60" s="223"/>
      <c r="WA60" s="223"/>
      <c r="WB60" s="223"/>
      <c r="WC60" s="223"/>
      <c r="WD60" s="223"/>
      <c r="WE60" s="223"/>
      <c r="WF60" s="223"/>
      <c r="WG60" s="223"/>
      <c r="WH60" s="223"/>
      <c r="WI60" s="223"/>
      <c r="WJ60" s="223"/>
      <c r="WK60" s="223"/>
      <c r="WL60" s="223"/>
      <c r="WM60" s="223"/>
      <c r="WN60" s="223"/>
    </row>
    <row r="61" spans="1:612" x14ac:dyDescent="0.3">
      <c r="B61" s="453">
        <f>B56-B59-B60</f>
        <v>0</v>
      </c>
      <c r="C61" s="453">
        <f>C56-C59-C60</f>
        <v>0</v>
      </c>
      <c r="D61" s="453">
        <f t="shared" ref="D61:E61" si="582">D56-D59-D60</f>
        <v>0</v>
      </c>
      <c r="E61" s="453">
        <f t="shared" si="582"/>
        <v>0</v>
      </c>
      <c r="AK61" s="907">
        <f t="shared" si="562"/>
        <v>0</v>
      </c>
      <c r="AL61" s="1017"/>
      <c r="AO61" s="1017">
        <f>SUM(AP61:AS61)</f>
        <v>0</v>
      </c>
      <c r="AP61" s="907">
        <f t="shared" si="563"/>
        <v>0</v>
      </c>
      <c r="AQ61" s="1017"/>
      <c r="AT61" s="1017"/>
      <c r="AU61" s="907">
        <f t="shared" si="565"/>
        <v>0</v>
      </c>
      <c r="AV61" s="1017">
        <f>SUM(AW61:NR61)</f>
        <v>0</v>
      </c>
      <c r="AX61" s="1017">
        <f>SUM(AY61:BA61)</f>
        <v>0</v>
      </c>
      <c r="AY61" s="907">
        <f t="shared" si="567"/>
        <v>0</v>
      </c>
      <c r="AZ61" s="1017">
        <f>SUM(BA61:NR61)</f>
        <v>0</v>
      </c>
      <c r="BB61" s="1017">
        <f>SUM(BC61:BE61)</f>
        <v>0</v>
      </c>
      <c r="BS61" s="225">
        <f>BS56-BS59-BS60</f>
        <v>0</v>
      </c>
      <c r="BW61" s="225">
        <f>BW56-BW59-BW60</f>
        <v>0</v>
      </c>
      <c r="CA61" s="225">
        <f>CA56-CA59-CA60</f>
        <v>0</v>
      </c>
      <c r="CE61" s="225">
        <f>CE56-CE59-CE60</f>
        <v>0</v>
      </c>
      <c r="CQ61" s="225">
        <f>CQ56-CQ59-CQ60</f>
        <v>0</v>
      </c>
      <c r="CR61" s="225">
        <f>CR56-CR59-CR60</f>
        <v>0</v>
      </c>
      <c r="CY61" s="225">
        <f>CY56-CY59-CY60</f>
        <v>0</v>
      </c>
      <c r="CZ61" s="225">
        <f>CZ56-CZ59-CZ60</f>
        <v>0</v>
      </c>
      <c r="DG61" s="237"/>
      <c r="DH61" s="237"/>
      <c r="DI61" s="237"/>
      <c r="DJ61" s="237"/>
      <c r="DM61" s="225">
        <f>DM56-DM59-DM60</f>
        <v>0</v>
      </c>
      <c r="DU61" s="225">
        <f>DU56-DU59-DU60</f>
        <v>0</v>
      </c>
      <c r="IG61" s="225">
        <f>IG56-IG59-IG60</f>
        <v>0</v>
      </c>
      <c r="IJ61" s="225">
        <f>IJ56-IJ59-IJ60</f>
        <v>0</v>
      </c>
      <c r="IM61" s="225">
        <f>IM56-IM59-IM60</f>
        <v>0</v>
      </c>
      <c r="IN61" s="225"/>
      <c r="IO61" s="225"/>
      <c r="IP61" s="225">
        <f>IP56-IP59-IP60</f>
        <v>0</v>
      </c>
      <c r="JK61" s="907">
        <f t="shared" si="568"/>
        <v>0</v>
      </c>
      <c r="JL61" s="1016">
        <f t="shared" ref="JL61" si="583">JL56-JL59-JL60</f>
        <v>0</v>
      </c>
      <c r="JN61" s="907">
        <f t="shared" si="570"/>
        <v>0</v>
      </c>
      <c r="JO61" s="1016">
        <f t="shared" ref="JO61" si="584">JO56-JO59-JO60</f>
        <v>0</v>
      </c>
      <c r="JQ61" s="453">
        <f>JQ56-JQ59-JQ60</f>
        <v>0</v>
      </c>
      <c r="LE61" s="453">
        <f>LE56-LE59-LE60</f>
        <v>0</v>
      </c>
      <c r="LF61" s="453">
        <f>LF56-LF59-LF60</f>
        <v>0</v>
      </c>
      <c r="LG61" s="453">
        <f>LG56-LG59-LG60</f>
        <v>0</v>
      </c>
      <c r="LH61" s="453"/>
      <c r="LI61" s="453"/>
      <c r="LJ61" s="453"/>
      <c r="LK61" s="453">
        <f>LK56-LK59-LK60</f>
        <v>0</v>
      </c>
    </row>
  </sheetData>
  <mergeCells count="319">
    <mergeCell ref="HU8:HZ8"/>
    <mergeCell ref="ES39:EX39"/>
    <mergeCell ref="EY39:FD39"/>
    <mergeCell ref="RQ9:RR9"/>
    <mergeCell ref="QG10:QL10"/>
    <mergeCell ref="QG9:QR9"/>
    <mergeCell ref="QM10:QR10"/>
    <mergeCell ref="RK8:RL8"/>
    <mergeCell ref="PO8:PT8"/>
    <mergeCell ref="PO9:PT9"/>
    <mergeCell ref="PO10:PT10"/>
    <mergeCell ref="PU8:QR8"/>
    <mergeCell ref="RI9:RJ9"/>
    <mergeCell ref="PU9:PZ9"/>
    <mergeCell ref="PU10:PZ10"/>
    <mergeCell ref="FK39:FZ39"/>
    <mergeCell ref="FK9:FP9"/>
    <mergeCell ref="FK10:FP10"/>
    <mergeCell ref="FQ9:FV10"/>
    <mergeCell ref="KA9:KJ10"/>
    <mergeCell ref="JQ9:JZ9"/>
    <mergeCell ref="GG9:GP9"/>
    <mergeCell ref="GQ9:GZ10"/>
    <mergeCell ref="ES8:EX8"/>
    <mergeCell ref="TY10:UD10"/>
    <mergeCell ref="RK39:RL39"/>
    <mergeCell ref="TM8:TX8"/>
    <mergeCell ref="TM9:TP9"/>
    <mergeCell ref="TQ9:TT10"/>
    <mergeCell ref="SG8:SG11"/>
    <mergeCell ref="TY39:UN39"/>
    <mergeCell ref="IA8:IF8"/>
    <mergeCell ref="IA9:IF9"/>
    <mergeCell ref="IA10:IF10"/>
    <mergeCell ref="IA39:IF39"/>
    <mergeCell ref="UK9:UN9"/>
    <mergeCell ref="UK10:UL10"/>
    <mergeCell ref="UM10:UN10"/>
    <mergeCell ref="MI10:MJ10"/>
    <mergeCell ref="MK10:ML10"/>
    <mergeCell ref="LQ9:LZ9"/>
    <mergeCell ref="LQ10:LZ10"/>
    <mergeCell ref="MA9:MH10"/>
    <mergeCell ref="JQ8:LD8"/>
    <mergeCell ref="IM39:JJ39"/>
    <mergeCell ref="IG39:IL39"/>
    <mergeCell ref="JQ39:LD39"/>
    <mergeCell ref="KK10:KT10"/>
    <mergeCell ref="SG7:VS7"/>
    <mergeCell ref="SW10:SX10"/>
    <mergeCell ref="SY10:SZ10"/>
    <mergeCell ref="SO39:SZ39"/>
    <mergeCell ref="SO9:SR9"/>
    <mergeCell ref="SO10:SR10"/>
    <mergeCell ref="SS9:SV10"/>
    <mergeCell ref="VA39:VT39"/>
    <mergeCell ref="TE9:TH10"/>
    <mergeCell ref="TA9:TD9"/>
    <mergeCell ref="SH8:SH11"/>
    <mergeCell ref="TA39:TL39"/>
    <mergeCell ref="UU8:UZ8"/>
    <mergeCell ref="UU9:UZ9"/>
    <mergeCell ref="UU10:UZ10"/>
    <mergeCell ref="UU39:UZ39"/>
    <mergeCell ref="TA10:TD10"/>
    <mergeCell ref="UE9:UJ10"/>
    <mergeCell ref="SW9:SZ9"/>
    <mergeCell ref="SO8:SZ8"/>
    <mergeCell ref="UO8:UT8"/>
    <mergeCell ref="UO9:UT9"/>
    <mergeCell ref="TY8:UN8"/>
    <mergeCell ref="TY9:UD9"/>
    <mergeCell ref="F3:I3"/>
    <mergeCell ref="F2:I2"/>
    <mergeCell ref="VM10:VP10"/>
    <mergeCell ref="VI9:VL10"/>
    <mergeCell ref="VA9:VH9"/>
    <mergeCell ref="VA10:VH10"/>
    <mergeCell ref="VA8:VT8"/>
    <mergeCell ref="VM9:VT9"/>
    <mergeCell ref="VQ10:VT10"/>
    <mergeCell ref="RA7:SF7"/>
    <mergeCell ref="RA8:RA11"/>
    <mergeCell ref="RK9:RL9"/>
    <mergeCell ref="JQ10:JZ10"/>
    <mergeCell ref="TA8:TL8"/>
    <mergeCell ref="TI9:TL9"/>
    <mergeCell ref="TI10:TJ10"/>
    <mergeCell ref="TK10:TL10"/>
    <mergeCell ref="QS8:QZ8"/>
    <mergeCell ref="RG8:RH8"/>
    <mergeCell ref="RG10:RH10"/>
    <mergeCell ref="N8:U8"/>
    <mergeCell ref="R10:S10"/>
    <mergeCell ref="FE8:FJ8"/>
    <mergeCell ref="QU9:QV10"/>
    <mergeCell ref="WE39:WL39"/>
    <mergeCell ref="WI9:WL9"/>
    <mergeCell ref="WI10:WJ10"/>
    <mergeCell ref="WE10:WF10"/>
    <mergeCell ref="WG9:WH10"/>
    <mergeCell ref="WE9:WF9"/>
    <mergeCell ref="VW39:WD39"/>
    <mergeCell ref="VY9:VZ10"/>
    <mergeCell ref="WA9:WD9"/>
    <mergeCell ref="WA10:WB10"/>
    <mergeCell ref="WC10:WD10"/>
    <mergeCell ref="VW9:VX9"/>
    <mergeCell ref="VW10:VX10"/>
    <mergeCell ref="VU7:VU11"/>
    <mergeCell ref="WE7:WL8"/>
    <mergeCell ref="WK10:WL10"/>
    <mergeCell ref="VW7:WD8"/>
    <mergeCell ref="VV7:VV11"/>
    <mergeCell ref="AI7:QZ7"/>
    <mergeCell ref="QY10:QZ10"/>
    <mergeCell ref="QS9:QT9"/>
    <mergeCell ref="RF8:RF11"/>
    <mergeCell ref="RD8:RD11"/>
    <mergeCell ref="RG9:RH9"/>
    <mergeCell ref="QW10:QX10"/>
    <mergeCell ref="QW9:QZ9"/>
    <mergeCell ref="RB8:RB11"/>
    <mergeCell ref="RE8:RE11"/>
    <mergeCell ref="RC8:RC11"/>
    <mergeCell ref="RQ8:RR8"/>
    <mergeCell ref="DG9:DL9"/>
    <mergeCell ref="DG10:DL10"/>
    <mergeCell ref="EI10:ER10"/>
    <mergeCell ref="DG8:DL8"/>
    <mergeCell ref="AI8:AI11"/>
    <mergeCell ref="AJ8:AJ11"/>
    <mergeCell ref="CQ8:CX8"/>
    <mergeCell ref="A6:A11"/>
    <mergeCell ref="B6:C8"/>
    <mergeCell ref="B9:C10"/>
    <mergeCell ref="E8:E11"/>
    <mergeCell ref="D8:D11"/>
    <mergeCell ref="D7:AH7"/>
    <mergeCell ref="V8:AH8"/>
    <mergeCell ref="AE9:AH9"/>
    <mergeCell ref="V9:Z9"/>
    <mergeCell ref="R9:U9"/>
    <mergeCell ref="F8:M8"/>
    <mergeCell ref="H9:I10"/>
    <mergeCell ref="L10:M10"/>
    <mergeCell ref="N10:O10"/>
    <mergeCell ref="AE10:AF10"/>
    <mergeCell ref="AA9:AD10"/>
    <mergeCell ref="AK39:BR39"/>
    <mergeCell ref="FE10:FJ10"/>
    <mergeCell ref="CU9:CX9"/>
    <mergeCell ref="CQ39:CX39"/>
    <mergeCell ref="CU10:CV10"/>
    <mergeCell ref="BS39:CL39"/>
    <mergeCell ref="CW10:CX10"/>
    <mergeCell ref="CI9:CL9"/>
    <mergeCell ref="EI39:ER39"/>
    <mergeCell ref="DM39:EB39"/>
    <mergeCell ref="FE39:FJ39"/>
    <mergeCell ref="FE9:FJ9"/>
    <mergeCell ref="CY39:DF39"/>
    <mergeCell ref="EC39:EH39"/>
    <mergeCell ref="EC9:EH9"/>
    <mergeCell ref="DE10:DF10"/>
    <mergeCell ref="EC10:EH10"/>
    <mergeCell ref="DG39:DL39"/>
    <mergeCell ref="CI10:CJ10"/>
    <mergeCell ref="CM39:CP39"/>
    <mergeCell ref="DM10:EB10"/>
    <mergeCell ref="ES9:EX9"/>
    <mergeCell ref="ES10:EX10"/>
    <mergeCell ref="F39:M39"/>
    <mergeCell ref="N39:U39"/>
    <mergeCell ref="AA39:AH39"/>
    <mergeCell ref="F9:G9"/>
    <mergeCell ref="J10:K10"/>
    <mergeCell ref="N9:O9"/>
    <mergeCell ref="V10:Z10"/>
    <mergeCell ref="F10:G10"/>
    <mergeCell ref="T10:U10"/>
    <mergeCell ref="J9:M9"/>
    <mergeCell ref="P9:Q10"/>
    <mergeCell ref="AG10:AH10"/>
    <mergeCell ref="V39:Z39"/>
    <mergeCell ref="EI8:ER8"/>
    <mergeCell ref="JK8:JP8"/>
    <mergeCell ref="EI9:ER9"/>
    <mergeCell ref="EC8:EH8"/>
    <mergeCell ref="DM8:EB8"/>
    <mergeCell ref="DM9:EB9"/>
    <mergeCell ref="EY8:FD8"/>
    <mergeCell ref="EY9:FD9"/>
    <mergeCell ref="IM10:IR10"/>
    <mergeCell ref="IY9:JJ9"/>
    <mergeCell ref="IG10:IL10"/>
    <mergeCell ref="IG9:IL9"/>
    <mergeCell ref="GG8:HT8"/>
    <mergeCell ref="FW10:FX10"/>
    <mergeCell ref="FY10:FZ10"/>
    <mergeCell ref="FW9:FZ9"/>
    <mergeCell ref="FK8:FZ8"/>
    <mergeCell ref="GA8:GF8"/>
    <mergeCell ref="GA9:GF9"/>
    <mergeCell ref="GA10:GF10"/>
    <mergeCell ref="HA9:HT9"/>
    <mergeCell ref="GG10:GP10"/>
    <mergeCell ref="HA10:HJ10"/>
    <mergeCell ref="HK10:HT10"/>
    <mergeCell ref="AK8:BR8"/>
    <mergeCell ref="AK9:AT9"/>
    <mergeCell ref="AK10:AT10"/>
    <mergeCell ref="AU9:BB10"/>
    <mergeCell ref="BC9:BR9"/>
    <mergeCell ref="BC10:BJ10"/>
    <mergeCell ref="BK10:BR10"/>
    <mergeCell ref="CQ10:CR10"/>
    <mergeCell ref="DC9:DF9"/>
    <mergeCell ref="DC10:DD10"/>
    <mergeCell ref="CY9:CZ9"/>
    <mergeCell ref="DA9:DB10"/>
    <mergeCell ref="CY10:CZ10"/>
    <mergeCell ref="CS9:CT10"/>
    <mergeCell ref="BS8:CL8"/>
    <mergeCell ref="CK10:CL10"/>
    <mergeCell ref="CM8:CP8"/>
    <mergeCell ref="CM9:CP9"/>
    <mergeCell ref="CM10:CP10"/>
    <mergeCell ref="CA9:CH10"/>
    <mergeCell ref="BS9:BZ9"/>
    <mergeCell ref="BS10:BZ10"/>
    <mergeCell ref="CQ9:CR9"/>
    <mergeCell ref="CY8:DF8"/>
    <mergeCell ref="GG39:HT39"/>
    <mergeCell ref="JK39:JP39"/>
    <mergeCell ref="HU9:HZ9"/>
    <mergeCell ref="HU10:HZ10"/>
    <mergeCell ref="HU39:HZ39"/>
    <mergeCell ref="JK9:JP9"/>
    <mergeCell ref="JK10:JP10"/>
    <mergeCell ref="GA39:GF39"/>
    <mergeCell ref="EY10:FD10"/>
    <mergeCell ref="IG8:IL8"/>
    <mergeCell ref="IM8:JJ8"/>
    <mergeCell ref="JE10:JJ10"/>
    <mergeCell ref="IS9:IX10"/>
    <mergeCell ref="IY10:JD10"/>
    <mergeCell ref="IM9:IR9"/>
    <mergeCell ref="UO10:UT10"/>
    <mergeCell ref="UO39:UT39"/>
    <mergeCell ref="RS10:RT10"/>
    <mergeCell ref="RS9:RT9"/>
    <mergeCell ref="RI8:RJ8"/>
    <mergeCell ref="RO8:RP8"/>
    <mergeCell ref="RO10:RP10"/>
    <mergeCell ref="RW8:RX8"/>
    <mergeCell ref="RW9:RX9"/>
    <mergeCell ref="RW10:RX10"/>
    <mergeCell ref="RO9:RP9"/>
    <mergeCell ref="RQ10:RR10"/>
    <mergeCell ref="RM8:RN8"/>
    <mergeCell ref="RK10:RL10"/>
    <mergeCell ref="RM9:RN10"/>
    <mergeCell ref="RW39:RX39"/>
    <mergeCell ref="TU9:TX9"/>
    <mergeCell ref="TM10:TP10"/>
    <mergeCell ref="TU10:TV10"/>
    <mergeCell ref="TW10:TX10"/>
    <mergeCell ref="TM39:TX39"/>
    <mergeCell ref="RY39:SF39"/>
    <mergeCell ref="RY8:SF8"/>
    <mergeCell ref="RY9:SF9"/>
    <mergeCell ref="RY10:SF10"/>
    <mergeCell ref="SI8:SN8"/>
    <mergeCell ref="SI9:SN9"/>
    <mergeCell ref="SI10:SN10"/>
    <mergeCell ref="SI39:SN39"/>
    <mergeCell ref="LE39:LP39"/>
    <mergeCell ref="NC10:NJ10"/>
    <mergeCell ref="MM39:NR39"/>
    <mergeCell ref="MM9:MT9"/>
    <mergeCell ref="MM10:MT10"/>
    <mergeCell ref="MU9:NB10"/>
    <mergeCell ref="KK9:LD9"/>
    <mergeCell ref="OM9:PN9"/>
    <mergeCell ref="PA10:PN10"/>
    <mergeCell ref="OM10:OZ10"/>
    <mergeCell ref="NY9:OL10"/>
    <mergeCell ref="NY39:PN39"/>
    <mergeCell ref="NK10:NR10"/>
    <mergeCell ref="NC9:NR9"/>
    <mergeCell ref="LQ39:ML39"/>
    <mergeCell ref="KU10:LD10"/>
    <mergeCell ref="LE10:LP10"/>
    <mergeCell ref="MI9:ML9"/>
    <mergeCell ref="NS8:PN8"/>
    <mergeCell ref="LQ8:ML8"/>
    <mergeCell ref="PU39:QR39"/>
    <mergeCell ref="LE8:LP8"/>
    <mergeCell ref="LE9:LP9"/>
    <mergeCell ref="PO39:PT39"/>
    <mergeCell ref="RU9:RV9"/>
    <mergeCell ref="QU39:QZ39"/>
    <mergeCell ref="QS39:QT39"/>
    <mergeCell ref="QS10:QT10"/>
    <mergeCell ref="RG39:RH39"/>
    <mergeCell ref="NS9:NX10"/>
    <mergeCell ref="RI10:RJ10"/>
    <mergeCell ref="RO39:RP39"/>
    <mergeCell ref="RU39:RV39"/>
    <mergeCell ref="RU8:RV8"/>
    <mergeCell ref="MM8:NR8"/>
    <mergeCell ref="RI39:RJ39"/>
    <mergeCell ref="RQ39:RR39"/>
    <mergeCell ref="RS39:RT39"/>
    <mergeCell ref="RS8:RT8"/>
    <mergeCell ref="RU10:RV10"/>
    <mergeCell ref="RM39:RN39"/>
    <mergeCell ref="QA9:QF10"/>
  </mergeCells>
  <phoneticPr fontId="0" type="noConversion"/>
  <pageMargins left="0.39370078740157483" right="0.39370078740157483" top="0.39370078740157483" bottom="0.39370078740157483" header="0.23622047244094491" footer="0.23622047244094491"/>
  <pageSetup paperSize="9" scale="31" fitToWidth="45" orientation="landscape" horizontalDpi="300" verticalDpi="300" r:id="rId1"/>
  <headerFooter alignWithMargins="0">
    <oddFooter>&amp;L&amp;P&amp;R&amp;F&amp;A</oddFooter>
  </headerFooter>
  <colBreaks count="11" manualBreakCount="11">
    <brk id="94" max="38" man="1"/>
    <brk id="108" max="38" man="1"/>
    <brk id="166" max="38" man="1"/>
    <brk id="224" max="38" man="1"/>
    <brk id="276" max="38" man="1"/>
    <brk id="348" max="38" man="1"/>
    <brk id="410" max="38" man="1"/>
    <brk id="462" max="38" man="1"/>
    <brk id="482" max="38" man="1"/>
    <brk id="540" max="38" man="1"/>
    <brk id="572" max="38"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2:E21"/>
  <sheetViews>
    <sheetView zoomScale="86" zoomScaleNormal="86" workbookViewId="0">
      <pane xSplit="1" ySplit="7" topLeftCell="B8" activePane="bottomRight" state="frozen"/>
      <selection pane="topRight" activeCell="B1" sqref="B1"/>
      <selection pane="bottomLeft" activeCell="A6" sqref="A6"/>
      <selection pane="bottomRight" activeCell="H9" sqref="H9"/>
    </sheetView>
  </sheetViews>
  <sheetFormatPr defaultColWidth="9.109375" defaultRowHeight="13.2" x14ac:dyDescent="0.25"/>
  <cols>
    <col min="1" max="1" width="51.5546875" style="1" customWidth="1"/>
    <col min="2" max="2" width="15.5546875" style="1" customWidth="1"/>
    <col min="3" max="3" width="19.5546875" style="1" customWidth="1"/>
    <col min="4" max="4" width="20.109375" style="1" customWidth="1"/>
    <col min="5" max="5" width="22.88671875" style="1" customWidth="1"/>
    <col min="6" max="6" width="9.109375" style="1"/>
    <col min="7" max="7" width="16.5546875" style="1" bestFit="1" customWidth="1"/>
    <col min="8" max="16384" width="9.109375" style="1"/>
  </cols>
  <sheetData>
    <row r="2" spans="1:5" ht="13.8" x14ac:dyDescent="0.25">
      <c r="A2" s="1912" t="s">
        <v>463</v>
      </c>
      <c r="B2" s="1912"/>
      <c r="C2" s="1912"/>
      <c r="D2" s="1912"/>
      <c r="E2" s="1912"/>
    </row>
    <row r="3" spans="1:5" ht="13.8" x14ac:dyDescent="0.25">
      <c r="A3" s="1913" t="str">
        <f>'План и исполнение'!F3</f>
        <v>ПО  СОСТОЯНИЮ  НА  1  ИЮЛЯ  2020  ГОДА</v>
      </c>
      <c r="B3" s="1913"/>
      <c r="C3" s="1913"/>
      <c r="D3" s="1913"/>
      <c r="E3" s="1913"/>
    </row>
    <row r="4" spans="1:5" ht="13.8" x14ac:dyDescent="0.25">
      <c r="A4" s="1914" t="s">
        <v>137</v>
      </c>
      <c r="B4" s="1914"/>
      <c r="C4" s="1914"/>
      <c r="D4" s="1914"/>
      <c r="E4" s="1914"/>
    </row>
    <row r="6" spans="1:5" x14ac:dyDescent="0.25">
      <c r="C6" s="1594"/>
      <c r="E6" s="1" t="s">
        <v>20</v>
      </c>
    </row>
    <row r="7" spans="1:5" s="173" customFormat="1" ht="26.4" x14ac:dyDescent="0.25">
      <c r="A7" s="174" t="s">
        <v>159</v>
      </c>
      <c r="B7" s="174" t="s">
        <v>18</v>
      </c>
      <c r="C7" s="174" t="s">
        <v>13</v>
      </c>
      <c r="D7" s="174" t="s">
        <v>161</v>
      </c>
      <c r="E7" s="174" t="s">
        <v>160</v>
      </c>
    </row>
    <row r="8" spans="1:5" ht="92.4" x14ac:dyDescent="0.25">
      <c r="A8" s="175" t="s">
        <v>760</v>
      </c>
      <c r="B8" s="176" t="s">
        <v>171</v>
      </c>
      <c r="C8" s="1071">
        <f>50000000+114200000+335845377+150071523</f>
        <v>650116900</v>
      </c>
      <c r="D8" s="180">
        <f t="shared" ref="D8:D13" si="0">C8-E8</f>
        <v>395248806</v>
      </c>
      <c r="E8" s="216">
        <f>'[1]Дотация  из  ОБ_факт'!F37</f>
        <v>254868094</v>
      </c>
    </row>
    <row r="9" spans="1:5" ht="132" x14ac:dyDescent="0.25">
      <c r="A9" s="1373" t="s">
        <v>761</v>
      </c>
      <c r="B9" s="176" t="s">
        <v>190</v>
      </c>
      <c r="C9" s="1071">
        <v>8500000</v>
      </c>
      <c r="D9" s="180">
        <f t="shared" si="0"/>
        <v>8500000</v>
      </c>
      <c r="E9" s="216">
        <f>'[1]Дотация  из  ОБ_факт'!F38</f>
        <v>0</v>
      </c>
    </row>
    <row r="10" spans="1:5" ht="145.19999999999999" x14ac:dyDescent="0.25">
      <c r="A10" s="1373" t="s">
        <v>762</v>
      </c>
      <c r="B10" s="176" t="s">
        <v>193</v>
      </c>
      <c r="C10" s="1071">
        <v>6000000</v>
      </c>
      <c r="D10" s="180">
        <f t="shared" si="0"/>
        <v>6000000</v>
      </c>
      <c r="E10" s="216">
        <f>'[1]Дотация  из  ОБ_факт'!F39</f>
        <v>0</v>
      </c>
    </row>
    <row r="11" spans="1:5" ht="132" x14ac:dyDescent="0.25">
      <c r="A11" s="1373" t="s">
        <v>763</v>
      </c>
      <c r="B11" s="176" t="s">
        <v>194</v>
      </c>
      <c r="C11" s="1071">
        <v>10000000</v>
      </c>
      <c r="D11" s="180">
        <f t="shared" si="0"/>
        <v>10000000</v>
      </c>
      <c r="E11" s="216">
        <f>'[1]Дотация  из  ОБ_факт'!F40</f>
        <v>0</v>
      </c>
    </row>
    <row r="12" spans="1:5" ht="132" x14ac:dyDescent="0.25">
      <c r="A12" s="1373" t="s">
        <v>764</v>
      </c>
      <c r="B12" s="176" t="s">
        <v>191</v>
      </c>
      <c r="C12" s="1071">
        <v>3000000</v>
      </c>
      <c r="D12" s="180">
        <f t="shared" si="0"/>
        <v>3000000</v>
      </c>
      <c r="E12" s="216">
        <f>'[1]Дотация  из  ОБ_факт'!F41</f>
        <v>0</v>
      </c>
    </row>
    <row r="13" spans="1:5" ht="145.19999999999999" x14ac:dyDescent="0.25">
      <c r="A13" s="1373" t="s">
        <v>765</v>
      </c>
      <c r="B13" s="176" t="s">
        <v>195</v>
      </c>
      <c r="C13" s="1071">
        <v>12500000</v>
      </c>
      <c r="D13" s="180">
        <f t="shared" si="0"/>
        <v>12500000</v>
      </c>
      <c r="E13" s="216">
        <f>'[1]Дотация  из  ОБ_факт'!F42</f>
        <v>0</v>
      </c>
    </row>
    <row r="14" spans="1:5" ht="13.8" x14ac:dyDescent="0.25">
      <c r="A14" s="178"/>
      <c r="B14" s="178"/>
      <c r="C14" s="182"/>
      <c r="D14" s="178"/>
      <c r="E14" s="177"/>
    </row>
    <row r="15" spans="1:5" s="172" customFormat="1" ht="13.8" x14ac:dyDescent="0.25">
      <c r="A15" s="179" t="s">
        <v>1</v>
      </c>
      <c r="B15" s="179"/>
      <c r="C15" s="181">
        <f>SUM(C8:C14)</f>
        <v>690116900</v>
      </c>
      <c r="D15" s="181">
        <f>SUM(D8:D14)</f>
        <v>435248806</v>
      </c>
      <c r="E15" s="181">
        <f>SUM(E8:E14)</f>
        <v>254868094</v>
      </c>
    </row>
    <row r="16" spans="1:5" x14ac:dyDescent="0.25">
      <c r="E16" s="446"/>
    </row>
    <row r="18" spans="1:5" x14ac:dyDescent="0.25">
      <c r="A18" s="172" t="s">
        <v>107</v>
      </c>
    </row>
    <row r="19" spans="1:5" ht="13.8" x14ac:dyDescent="0.25">
      <c r="A19" s="175" t="s">
        <v>52</v>
      </c>
      <c r="B19" s="176"/>
      <c r="C19" s="182"/>
      <c r="D19" s="180"/>
      <c r="E19" s="216">
        <f>Субсидия!G453</f>
        <v>162671205</v>
      </c>
    </row>
    <row r="20" spans="1:5" ht="13.8" x14ac:dyDescent="0.25">
      <c r="A20" s="175" t="s">
        <v>165</v>
      </c>
      <c r="B20" s="176"/>
      <c r="C20" s="182"/>
      <c r="D20" s="180"/>
      <c r="E20" s="216">
        <f>'Нераспределенные  иные  МБТ'!G44</f>
        <v>152985000</v>
      </c>
    </row>
    <row r="21" spans="1:5" ht="13.8" x14ac:dyDescent="0.25">
      <c r="A21" s="217" t="s">
        <v>53</v>
      </c>
      <c r="B21" s="178"/>
      <c r="C21" s="182"/>
      <c r="D21" s="178"/>
      <c r="E21" s="218">
        <f>SUM(E15:E20)</f>
        <v>570524299</v>
      </c>
    </row>
  </sheetData>
  <mergeCells count="3">
    <mergeCell ref="A2:E2"/>
    <mergeCell ref="A3:E3"/>
    <mergeCell ref="A4:E4"/>
  </mergeCells>
  <phoneticPr fontId="0" type="noConversion"/>
  <pageMargins left="0.78740157480314965" right="0.39370078740157483" top="0.78740157480314965" bottom="0.78740157480314965" header="0.51181102362204722" footer="0.51181102362204722"/>
  <pageSetup paperSize="9" scale="71" orientation="portrait" r:id="rId1"/>
  <headerFooter alignWithMargins="0">
    <oddFooter>&amp;R&amp;Z&amp;F&amp;A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2:Q509"/>
  <sheetViews>
    <sheetView topLeftCell="A2" zoomScale="80" zoomScaleNormal="80" workbookViewId="0">
      <pane xSplit="3" ySplit="6" topLeftCell="D418" activePane="bottomRight" state="frozen"/>
      <selection activeCell="A2" sqref="A2"/>
      <selection pane="topRight" activeCell="D2" sqref="D2"/>
      <selection pane="bottomLeft" activeCell="A8" sqref="A8"/>
      <selection pane="bottomRight" activeCell="J453" sqref="J453"/>
    </sheetView>
  </sheetViews>
  <sheetFormatPr defaultColWidth="9.109375" defaultRowHeight="13.8" x14ac:dyDescent="0.25"/>
  <cols>
    <col min="1" max="1" width="12.109375" style="845" customWidth="1"/>
    <col min="2" max="2" width="48.88671875" style="845" customWidth="1"/>
    <col min="3" max="3" width="17.44140625" style="845" customWidth="1"/>
    <col min="4" max="4" width="22.109375" style="845" customWidth="1"/>
    <col min="5" max="6" width="21.5546875" style="845" customWidth="1"/>
    <col min="7" max="7" width="21" style="845" customWidth="1"/>
    <col min="8" max="8" width="9.44140625" style="844" customWidth="1"/>
    <col min="9" max="9" width="9.109375" style="844" customWidth="1"/>
    <col min="10" max="10" width="20.5546875" style="1394" customWidth="1"/>
    <col min="11" max="11" width="13" style="845" bestFit="1" customWidth="1"/>
    <col min="12" max="12" width="12.44140625" style="845" customWidth="1"/>
    <col min="13" max="15" width="9.109375" style="845"/>
    <col min="16" max="16" width="14.5546875" style="845" customWidth="1"/>
    <col min="17" max="17" width="14.88671875" style="845" customWidth="1"/>
    <col min="18" max="16384" width="9.109375" style="845"/>
  </cols>
  <sheetData>
    <row r="2" spans="1:10" x14ac:dyDescent="0.25">
      <c r="A2" s="1917" t="s">
        <v>716</v>
      </c>
      <c r="B2" s="1917"/>
      <c r="C2" s="1917"/>
      <c r="D2" s="1917"/>
      <c r="E2" s="1917"/>
      <c r="F2" s="1917"/>
      <c r="G2" s="1917"/>
    </row>
    <row r="3" spans="1:10" x14ac:dyDescent="0.25">
      <c r="A3" s="1918" t="str">
        <f>'План и исполнение'!F3</f>
        <v>ПО  СОСТОЯНИЮ  НА  1  ИЮЛЯ  2020  ГОДА</v>
      </c>
      <c r="B3" s="1918"/>
      <c r="C3" s="1918"/>
      <c r="D3" s="1918"/>
      <c r="E3" s="1918"/>
      <c r="F3" s="1918"/>
      <c r="G3" s="1918"/>
    </row>
    <row r="4" spans="1:10" ht="54.9" customHeight="1" x14ac:dyDescent="0.25">
      <c r="A4" s="1919" t="s">
        <v>327</v>
      </c>
      <c r="B4" s="1919"/>
      <c r="C4" s="1919"/>
      <c r="D4" s="1919"/>
      <c r="E4" s="1919"/>
      <c r="F4" s="1919"/>
      <c r="G4" s="1919"/>
    </row>
    <row r="6" spans="1:10" x14ac:dyDescent="0.25">
      <c r="G6" s="845" t="s">
        <v>20</v>
      </c>
    </row>
    <row r="7" spans="1:10" s="184" customFormat="1" ht="26.4" x14ac:dyDescent="0.25">
      <c r="A7" s="183" t="s">
        <v>112</v>
      </c>
      <c r="B7" s="183" t="s">
        <v>159</v>
      </c>
      <c r="C7" s="183" t="s">
        <v>18</v>
      </c>
      <c r="D7" s="183" t="s">
        <v>13</v>
      </c>
      <c r="E7" s="183" t="s">
        <v>161</v>
      </c>
      <c r="F7" s="183" t="s">
        <v>4</v>
      </c>
      <c r="G7" s="183" t="s">
        <v>160</v>
      </c>
      <c r="H7" s="394"/>
      <c r="I7" s="394"/>
      <c r="J7" s="834"/>
    </row>
    <row r="8" spans="1:10" s="184" customFormat="1" x14ac:dyDescent="0.25">
      <c r="A8" s="185" t="s">
        <v>75</v>
      </c>
      <c r="B8" s="251" t="s">
        <v>47</v>
      </c>
      <c r="C8" s="194"/>
      <c r="D8" s="281">
        <f>D24+D15+D36+D12+D33+D27+D30+D18+D21</f>
        <v>77652124.400000006</v>
      </c>
      <c r="E8" s="281">
        <f t="shared" ref="E8:G8" si="0">E24+E15+E36+E12+E33+E27+E30+E18+E21</f>
        <v>70753414.400000006</v>
      </c>
      <c r="F8" s="281">
        <f t="shared" si="0"/>
        <v>24174435.839999996</v>
      </c>
      <c r="G8" s="281">
        <f t="shared" si="0"/>
        <v>6898710</v>
      </c>
      <c r="H8" s="288">
        <f t="shared" ref="H8:H39" si="1">IF(F8&gt;E8,1,0)</f>
        <v>0</v>
      </c>
      <c r="I8" s="288">
        <f>IF(G8&lt;0,1,0)</f>
        <v>0</v>
      </c>
      <c r="J8" s="834"/>
    </row>
    <row r="9" spans="1:10" s="184" customFormat="1" x14ac:dyDescent="0.25">
      <c r="A9" s="381"/>
      <c r="B9" s="382" t="s">
        <v>146</v>
      </c>
      <c r="C9" s="383"/>
      <c r="D9" s="1254">
        <f>D25+D16+D37+D13+D34+D28+D31+D19+D22</f>
        <v>63830474.399999999</v>
      </c>
      <c r="E9" s="1254">
        <f t="shared" ref="E9:G9" si="2">E25+E16+E37+E13+E34+E28+E31+E19+E22</f>
        <v>56931764.399999999</v>
      </c>
      <c r="F9" s="1254">
        <f t="shared" si="2"/>
        <v>24174435.839999996</v>
      </c>
      <c r="G9" s="1254">
        <f t="shared" si="2"/>
        <v>6898710</v>
      </c>
      <c r="H9" s="288">
        <f t="shared" si="1"/>
        <v>0</v>
      </c>
      <c r="I9" s="288">
        <f t="shared" ref="I9:I57" si="3">IF(G9&lt;0,1,0)</f>
        <v>0</v>
      </c>
      <c r="J9" s="834"/>
    </row>
    <row r="10" spans="1:10" s="184" customFormat="1" x14ac:dyDescent="0.25">
      <c r="A10" s="381"/>
      <c r="B10" s="382" t="s">
        <v>147</v>
      </c>
      <c r="C10" s="383"/>
      <c r="D10" s="1254">
        <f>D26+D17+D38+D14+D35+D29+D32+D20+D23</f>
        <v>13821650</v>
      </c>
      <c r="E10" s="1254">
        <f t="shared" ref="E10:G10" si="4">E26+E17+E38+E14+E35+E29+E32+E20+E23</f>
        <v>13821650</v>
      </c>
      <c r="F10" s="1254">
        <f t="shared" si="4"/>
        <v>0</v>
      </c>
      <c r="G10" s="1254">
        <f t="shared" si="4"/>
        <v>0</v>
      </c>
      <c r="H10" s="288">
        <f t="shared" si="1"/>
        <v>0</v>
      </c>
      <c r="I10" s="288">
        <f t="shared" si="3"/>
        <v>0</v>
      </c>
      <c r="J10" s="834"/>
    </row>
    <row r="11" spans="1:10" s="184" customFormat="1" x14ac:dyDescent="0.25">
      <c r="A11" s="186"/>
      <c r="B11" s="481" t="s">
        <v>38</v>
      </c>
      <c r="C11" s="195"/>
      <c r="D11" s="282"/>
      <c r="E11" s="187"/>
      <c r="F11" s="187"/>
      <c r="G11" s="282"/>
      <c r="H11" s="288">
        <f t="shared" si="1"/>
        <v>0</v>
      </c>
      <c r="I11" s="288">
        <f t="shared" si="3"/>
        <v>0</v>
      </c>
      <c r="J11" s="834"/>
    </row>
    <row r="12" spans="1:10" s="184" customFormat="1" ht="171.6" x14ac:dyDescent="0.25">
      <c r="A12" s="193"/>
      <c r="B12" s="482" t="s">
        <v>223</v>
      </c>
      <c r="C12" s="144" t="s">
        <v>199</v>
      </c>
      <c r="D12" s="285">
        <v>31569549</v>
      </c>
      <c r="E12" s="454">
        <f>D12</f>
        <v>31569549</v>
      </c>
      <c r="F12" s="393">
        <v>4423677.29</v>
      </c>
      <c r="G12" s="284">
        <f>D12-E12</f>
        <v>0</v>
      </c>
      <c r="H12" s="288">
        <f t="shared" si="1"/>
        <v>0</v>
      </c>
      <c r="I12" s="288">
        <f t="shared" si="3"/>
        <v>0</v>
      </c>
      <c r="J12" s="834"/>
    </row>
    <row r="13" spans="1:10" s="184" customFormat="1" x14ac:dyDescent="0.25">
      <c r="A13" s="388"/>
      <c r="B13" s="389" t="s">
        <v>146</v>
      </c>
      <c r="C13" s="390"/>
      <c r="D13" s="392">
        <f>D12-D14</f>
        <v>17747899</v>
      </c>
      <c r="E13" s="392">
        <f>E12-E14</f>
        <v>17747899</v>
      </c>
      <c r="F13" s="392">
        <f>F12-F14</f>
        <v>4423677.29</v>
      </c>
      <c r="G13" s="392">
        <f>G12-G14</f>
        <v>0</v>
      </c>
      <c r="H13" s="288">
        <f t="shared" si="1"/>
        <v>0</v>
      </c>
      <c r="I13" s="288">
        <f t="shared" si="3"/>
        <v>0</v>
      </c>
      <c r="J13" s="834"/>
    </row>
    <row r="14" spans="1:10" s="184" customFormat="1" x14ac:dyDescent="0.25">
      <c r="A14" s="388"/>
      <c r="B14" s="389" t="s">
        <v>147</v>
      </c>
      <c r="C14" s="390"/>
      <c r="D14" s="391">
        <v>13821650</v>
      </c>
      <c r="E14" s="460">
        <f>D14</f>
        <v>13821650</v>
      </c>
      <c r="F14" s="391"/>
      <c r="G14" s="392">
        <f t="shared" ref="G14:G38" si="5">D14-E14</f>
        <v>0</v>
      </c>
      <c r="H14" s="288">
        <f t="shared" si="1"/>
        <v>0</v>
      </c>
      <c r="I14" s="288">
        <f t="shared" si="3"/>
        <v>0</v>
      </c>
      <c r="J14" s="834"/>
    </row>
    <row r="15" spans="1:10" ht="145.19999999999999" x14ac:dyDescent="0.25">
      <c r="A15" s="193"/>
      <c r="B15" s="482" t="s">
        <v>225</v>
      </c>
      <c r="C15" s="144" t="s">
        <v>221</v>
      </c>
      <c r="D15" s="283">
        <v>2000000</v>
      </c>
      <c r="E15" s="187">
        <f>'Прочая  субсидия_МР  и  ГО'!X38</f>
        <v>2000000</v>
      </c>
      <c r="F15" s="187">
        <f>'Прочая  субсидия_МР  и  ГО'!Y38</f>
        <v>1033833.27</v>
      </c>
      <c r="G15" s="284">
        <f t="shared" si="5"/>
        <v>0</v>
      </c>
      <c r="H15" s="288">
        <f t="shared" si="1"/>
        <v>0</v>
      </c>
      <c r="I15" s="288">
        <f t="shared" si="3"/>
        <v>0</v>
      </c>
    </row>
    <row r="16" spans="1:10" x14ac:dyDescent="0.25">
      <c r="A16" s="388"/>
      <c r="B16" s="389" t="s">
        <v>146</v>
      </c>
      <c r="C16" s="390"/>
      <c r="D16" s="392">
        <f>D15</f>
        <v>2000000</v>
      </c>
      <c r="E16" s="392">
        <f>E15</f>
        <v>2000000</v>
      </c>
      <c r="F16" s="392">
        <f>F15</f>
        <v>1033833.27</v>
      </c>
      <c r="G16" s="392">
        <f t="shared" si="5"/>
        <v>0</v>
      </c>
      <c r="H16" s="288">
        <f t="shared" si="1"/>
        <v>0</v>
      </c>
      <c r="I16" s="288">
        <f t="shared" si="3"/>
        <v>0</v>
      </c>
    </row>
    <row r="17" spans="1:10" x14ac:dyDescent="0.25">
      <c r="A17" s="388"/>
      <c r="B17" s="389" t="s">
        <v>147</v>
      </c>
      <c r="C17" s="390"/>
      <c r="D17" s="392"/>
      <c r="E17" s="392"/>
      <c r="F17" s="392"/>
      <c r="G17" s="392">
        <f t="shared" si="5"/>
        <v>0</v>
      </c>
      <c r="H17" s="288">
        <f t="shared" si="1"/>
        <v>0</v>
      </c>
      <c r="I17" s="288">
        <f t="shared" si="3"/>
        <v>0</v>
      </c>
    </row>
    <row r="18" spans="1:10" ht="145.19999999999999" x14ac:dyDescent="0.25">
      <c r="A18" s="1372"/>
      <c r="B18" s="482" t="s">
        <v>770</v>
      </c>
      <c r="C18" s="144" t="s">
        <v>771</v>
      </c>
      <c r="D18" s="283">
        <f>3123025.4</f>
        <v>3123025.4</v>
      </c>
      <c r="E18" s="200">
        <f>'План и исполнение'!GH38</f>
        <v>3123025.4</v>
      </c>
      <c r="F18" s="200">
        <f>'План и исполнение'!GM38</f>
        <v>0</v>
      </c>
      <c r="G18" s="284">
        <f t="shared" si="5"/>
        <v>0</v>
      </c>
      <c r="H18" s="288">
        <f t="shared" si="1"/>
        <v>0</v>
      </c>
      <c r="I18" s="288">
        <f t="shared" si="3"/>
        <v>0</v>
      </c>
      <c r="J18" s="1404">
        <f>D18+D21</f>
        <v>3788735.4</v>
      </c>
    </row>
    <row r="19" spans="1:10" x14ac:dyDescent="0.25">
      <c r="A19" s="388"/>
      <c r="B19" s="389" t="s">
        <v>146</v>
      </c>
      <c r="C19" s="390"/>
      <c r="D19" s="392">
        <f>D18</f>
        <v>3123025.4</v>
      </c>
      <c r="E19" s="392">
        <f>E18</f>
        <v>3123025.4</v>
      </c>
      <c r="F19" s="392">
        <f>F18</f>
        <v>0</v>
      </c>
      <c r="G19" s="392">
        <f t="shared" si="5"/>
        <v>0</v>
      </c>
      <c r="H19" s="288">
        <f t="shared" si="1"/>
        <v>0</v>
      </c>
      <c r="I19" s="288">
        <f t="shared" si="3"/>
        <v>0</v>
      </c>
    </row>
    <row r="20" spans="1:10" x14ac:dyDescent="0.25">
      <c r="A20" s="388"/>
      <c r="B20" s="389" t="s">
        <v>147</v>
      </c>
      <c r="C20" s="390"/>
      <c r="D20" s="392">
        <f>D18-D19</f>
        <v>0</v>
      </c>
      <c r="E20" s="392">
        <f>E18-E19</f>
        <v>0</v>
      </c>
      <c r="F20" s="392">
        <f>F18-F19</f>
        <v>0</v>
      </c>
      <c r="G20" s="392">
        <f t="shared" si="5"/>
        <v>0</v>
      </c>
      <c r="H20" s="288">
        <f t="shared" si="1"/>
        <v>0</v>
      </c>
      <c r="I20" s="288">
        <f t="shared" si="3"/>
        <v>0</v>
      </c>
    </row>
    <row r="21" spans="1:10" x14ac:dyDescent="0.25">
      <c r="A21" s="724"/>
      <c r="B21" s="1250"/>
      <c r="C21" s="711" t="s">
        <v>771</v>
      </c>
      <c r="D21" s="1251">
        <v>665710</v>
      </c>
      <c r="E21" s="1252">
        <f>'План и исполнение'!GI38</f>
        <v>0</v>
      </c>
      <c r="F21" s="1252">
        <f>'План и исполнение'!GN38</f>
        <v>0</v>
      </c>
      <c r="G21" s="1253">
        <f t="shared" si="5"/>
        <v>665710</v>
      </c>
      <c r="H21" s="288">
        <f t="shared" si="1"/>
        <v>0</v>
      </c>
      <c r="I21" s="288">
        <f t="shared" si="3"/>
        <v>0</v>
      </c>
    </row>
    <row r="22" spans="1:10" x14ac:dyDescent="0.25">
      <c r="A22" s="724"/>
      <c r="B22" s="728" t="s">
        <v>146</v>
      </c>
      <c r="C22" s="729"/>
      <c r="D22" s="727">
        <f>D21</f>
        <v>665710</v>
      </c>
      <c r="E22" s="727">
        <f>E21</f>
        <v>0</v>
      </c>
      <c r="F22" s="727">
        <f>F21</f>
        <v>0</v>
      </c>
      <c r="G22" s="727">
        <f t="shared" si="5"/>
        <v>665710</v>
      </c>
      <c r="H22" s="288">
        <f t="shared" si="1"/>
        <v>0</v>
      </c>
      <c r="I22" s="288">
        <f t="shared" si="3"/>
        <v>0</v>
      </c>
    </row>
    <row r="23" spans="1:10" x14ac:dyDescent="0.25">
      <c r="A23" s="724"/>
      <c r="B23" s="728" t="s">
        <v>147</v>
      </c>
      <c r="C23" s="729"/>
      <c r="D23" s="727">
        <f>D21-D22</f>
        <v>0</v>
      </c>
      <c r="E23" s="727">
        <f>E21-E22</f>
        <v>0</v>
      </c>
      <c r="F23" s="727">
        <f>F21-F22</f>
        <v>0</v>
      </c>
      <c r="G23" s="727">
        <f t="shared" si="5"/>
        <v>0</v>
      </c>
      <c r="H23" s="288">
        <f t="shared" si="1"/>
        <v>0</v>
      </c>
      <c r="I23" s="288">
        <f t="shared" si="3"/>
        <v>0</v>
      </c>
    </row>
    <row r="24" spans="1:10" ht="158.4" x14ac:dyDescent="0.25">
      <c r="A24" s="249"/>
      <c r="B24" s="482" t="s">
        <v>767</v>
      </c>
      <c r="C24" s="144" t="s">
        <v>766</v>
      </c>
      <c r="D24" s="283">
        <v>6233000</v>
      </c>
      <c r="E24" s="200">
        <f>'Прочая  субсидия_МР  и  ГО'!Z38</f>
        <v>0</v>
      </c>
      <c r="F24" s="200">
        <f>'Прочая  субсидия_МР  и  ГО'!AA38</f>
        <v>0</v>
      </c>
      <c r="G24" s="284">
        <f t="shared" si="5"/>
        <v>6233000</v>
      </c>
      <c r="H24" s="288">
        <f t="shared" si="1"/>
        <v>0</v>
      </c>
      <c r="I24" s="288">
        <f t="shared" si="3"/>
        <v>0</v>
      </c>
    </row>
    <row r="25" spans="1:10" x14ac:dyDescent="0.25">
      <c r="A25" s="388"/>
      <c r="B25" s="389" t="s">
        <v>146</v>
      </c>
      <c r="C25" s="390"/>
      <c r="D25" s="392">
        <f>D24</f>
        <v>6233000</v>
      </c>
      <c r="E25" s="392">
        <f>E24</f>
        <v>0</v>
      </c>
      <c r="F25" s="392">
        <f>F24</f>
        <v>0</v>
      </c>
      <c r="G25" s="392">
        <f t="shared" si="5"/>
        <v>6233000</v>
      </c>
      <c r="H25" s="288">
        <f t="shared" si="1"/>
        <v>0</v>
      </c>
      <c r="I25" s="288">
        <f t="shared" si="3"/>
        <v>0</v>
      </c>
    </row>
    <row r="26" spans="1:10" x14ac:dyDescent="0.25">
      <c r="A26" s="388"/>
      <c r="B26" s="389" t="s">
        <v>147</v>
      </c>
      <c r="C26" s="390"/>
      <c r="D26" s="392">
        <f>D24-D25</f>
        <v>0</v>
      </c>
      <c r="E26" s="392">
        <f>E24-E25</f>
        <v>0</v>
      </c>
      <c r="F26" s="392">
        <f>F24-F25</f>
        <v>0</v>
      </c>
      <c r="G26" s="392">
        <f t="shared" si="5"/>
        <v>0</v>
      </c>
      <c r="H26" s="288">
        <f t="shared" si="1"/>
        <v>0</v>
      </c>
      <c r="I26" s="288">
        <f t="shared" si="3"/>
        <v>0</v>
      </c>
    </row>
    <row r="27" spans="1:10" ht="198" x14ac:dyDescent="0.25">
      <c r="A27" s="1247"/>
      <c r="B27" s="482" t="s">
        <v>726</v>
      </c>
      <c r="C27" s="144" t="s">
        <v>568</v>
      </c>
      <c r="D27" s="283">
        <v>10210540</v>
      </c>
      <c r="E27" s="200">
        <f>'План и исполнение'!GJ38</f>
        <v>10210540</v>
      </c>
      <c r="F27" s="200">
        <f>'План и исполнение'!GO38</f>
        <v>1901553.92</v>
      </c>
      <c r="G27" s="284">
        <f t="shared" si="5"/>
        <v>0</v>
      </c>
      <c r="H27" s="288">
        <f t="shared" si="1"/>
        <v>0</v>
      </c>
      <c r="I27" s="288">
        <f t="shared" si="3"/>
        <v>0</v>
      </c>
      <c r="J27" s="1404">
        <f>D27+D30</f>
        <v>17396840</v>
      </c>
    </row>
    <row r="28" spans="1:10" x14ac:dyDescent="0.25">
      <c r="A28" s="388"/>
      <c r="B28" s="389" t="s">
        <v>146</v>
      </c>
      <c r="C28" s="390"/>
      <c r="D28" s="392">
        <f>D27</f>
        <v>10210540</v>
      </c>
      <c r="E28" s="392">
        <f>E27</f>
        <v>10210540</v>
      </c>
      <c r="F28" s="392">
        <f>F27</f>
        <v>1901553.92</v>
      </c>
      <c r="G28" s="392">
        <f t="shared" si="5"/>
        <v>0</v>
      </c>
      <c r="H28" s="288">
        <f t="shared" si="1"/>
        <v>0</v>
      </c>
      <c r="I28" s="288">
        <f t="shared" si="3"/>
        <v>0</v>
      </c>
    </row>
    <row r="29" spans="1:10" x14ac:dyDescent="0.25">
      <c r="A29" s="388"/>
      <c r="B29" s="389" t="s">
        <v>147</v>
      </c>
      <c r="C29" s="390"/>
      <c r="D29" s="392"/>
      <c r="E29" s="392"/>
      <c r="F29" s="392"/>
      <c r="G29" s="392">
        <f t="shared" si="5"/>
        <v>0</v>
      </c>
      <c r="H29" s="288">
        <f t="shared" si="1"/>
        <v>0</v>
      </c>
      <c r="I29" s="288">
        <f t="shared" si="3"/>
        <v>0</v>
      </c>
    </row>
    <row r="30" spans="1:10" x14ac:dyDescent="0.25">
      <c r="A30" s="724"/>
      <c r="B30" s="1250"/>
      <c r="C30" s="711" t="s">
        <v>568</v>
      </c>
      <c r="D30" s="1251">
        <v>7186300</v>
      </c>
      <c r="E30" s="1252">
        <f>'План и исполнение'!GK38</f>
        <v>7186299.9999999991</v>
      </c>
      <c r="F30" s="1252">
        <f>'План и исполнение'!GP38</f>
        <v>1338336.3599999999</v>
      </c>
      <c r="G30" s="1253">
        <f t="shared" si="5"/>
        <v>0</v>
      </c>
      <c r="H30" s="288">
        <f t="shared" si="1"/>
        <v>0</v>
      </c>
      <c r="I30" s="288">
        <f t="shared" si="3"/>
        <v>0</v>
      </c>
    </row>
    <row r="31" spans="1:10" x14ac:dyDescent="0.25">
      <c r="A31" s="724"/>
      <c r="B31" s="728" t="s">
        <v>146</v>
      </c>
      <c r="C31" s="729"/>
      <c r="D31" s="727">
        <f>D30</f>
        <v>7186300</v>
      </c>
      <c r="E31" s="727">
        <f>E30</f>
        <v>7186299.9999999991</v>
      </c>
      <c r="F31" s="727">
        <f>F30</f>
        <v>1338336.3599999999</v>
      </c>
      <c r="G31" s="727">
        <f t="shared" si="5"/>
        <v>0</v>
      </c>
      <c r="H31" s="288">
        <f t="shared" si="1"/>
        <v>0</v>
      </c>
      <c r="I31" s="288">
        <f t="shared" si="3"/>
        <v>0</v>
      </c>
    </row>
    <row r="32" spans="1:10" x14ac:dyDescent="0.25">
      <c r="A32" s="724"/>
      <c r="B32" s="728" t="s">
        <v>147</v>
      </c>
      <c r="C32" s="729"/>
      <c r="D32" s="727"/>
      <c r="E32" s="727"/>
      <c r="F32" s="727"/>
      <c r="G32" s="727">
        <f t="shared" si="5"/>
        <v>0</v>
      </c>
      <c r="H32" s="288">
        <f t="shared" si="1"/>
        <v>0</v>
      </c>
      <c r="I32" s="288">
        <f t="shared" si="3"/>
        <v>0</v>
      </c>
    </row>
    <row r="33" spans="1:9" ht="158.4" x14ac:dyDescent="0.25">
      <c r="A33" s="1072"/>
      <c r="B33" s="482" t="s">
        <v>582</v>
      </c>
      <c r="C33" s="144" t="s">
        <v>581</v>
      </c>
      <c r="D33" s="283">
        <v>1300000</v>
      </c>
      <c r="E33" s="187">
        <f>'Прочая  субсидия_МР  и  ГО'!AB38</f>
        <v>1300000</v>
      </c>
      <c r="F33" s="187">
        <f>'Прочая  субсидия_МР  и  ГО'!AC38</f>
        <v>113035</v>
      </c>
      <c r="G33" s="284">
        <f t="shared" ref="G33:G35" si="6">D33-E33</f>
        <v>0</v>
      </c>
      <c r="H33" s="288">
        <f t="shared" ref="H33:H35" si="7">IF(F33&gt;E33,1,0)</f>
        <v>0</v>
      </c>
      <c r="I33" s="288">
        <f t="shared" ref="I33:I35" si="8">IF(G33&lt;0,1,0)</f>
        <v>0</v>
      </c>
    </row>
    <row r="34" spans="1:9" x14ac:dyDescent="0.25">
      <c r="A34" s="388"/>
      <c r="B34" s="389" t="s">
        <v>146</v>
      </c>
      <c r="C34" s="390"/>
      <c r="D34" s="392">
        <f>D33</f>
        <v>1300000</v>
      </c>
      <c r="E34" s="392">
        <f>E33</f>
        <v>1300000</v>
      </c>
      <c r="F34" s="392">
        <f>F33</f>
        <v>113035</v>
      </c>
      <c r="G34" s="392">
        <f t="shared" si="6"/>
        <v>0</v>
      </c>
      <c r="H34" s="288">
        <f t="shared" si="7"/>
        <v>0</v>
      </c>
      <c r="I34" s="288">
        <f t="shared" si="8"/>
        <v>0</v>
      </c>
    </row>
    <row r="35" spans="1:9" x14ac:dyDescent="0.25">
      <c r="A35" s="388"/>
      <c r="B35" s="389" t="s">
        <v>147</v>
      </c>
      <c r="C35" s="390"/>
      <c r="D35" s="392"/>
      <c r="E35" s="392"/>
      <c r="F35" s="392"/>
      <c r="G35" s="392">
        <f t="shared" si="6"/>
        <v>0</v>
      </c>
      <c r="H35" s="288">
        <f t="shared" si="7"/>
        <v>0</v>
      </c>
      <c r="I35" s="288">
        <f t="shared" si="8"/>
        <v>0</v>
      </c>
    </row>
    <row r="36" spans="1:9" ht="132" x14ac:dyDescent="0.25">
      <c r="A36" s="193"/>
      <c r="B36" s="482" t="s">
        <v>291</v>
      </c>
      <c r="C36" s="144" t="s">
        <v>290</v>
      </c>
      <c r="D36" s="283">
        <v>15364000</v>
      </c>
      <c r="E36" s="187">
        <f>'Прочая  субсидия_МР  и  ГО'!BB38</f>
        <v>15364000</v>
      </c>
      <c r="F36" s="187">
        <f>'Прочая  субсидия_МР  и  ГО'!BC38</f>
        <v>15364000</v>
      </c>
      <c r="G36" s="284">
        <f t="shared" si="5"/>
        <v>0</v>
      </c>
      <c r="H36" s="288">
        <f t="shared" si="1"/>
        <v>0</v>
      </c>
      <c r="I36" s="288">
        <f t="shared" si="3"/>
        <v>0</v>
      </c>
    </row>
    <row r="37" spans="1:9" x14ac:dyDescent="0.25">
      <c r="A37" s="388"/>
      <c r="B37" s="389" t="s">
        <v>146</v>
      </c>
      <c r="C37" s="390"/>
      <c r="D37" s="392">
        <f>D36</f>
        <v>15364000</v>
      </c>
      <c r="E37" s="392">
        <f>E36</f>
        <v>15364000</v>
      </c>
      <c r="F37" s="392">
        <f>F36</f>
        <v>15364000</v>
      </c>
      <c r="G37" s="392">
        <f t="shared" si="5"/>
        <v>0</v>
      </c>
      <c r="H37" s="288">
        <f t="shared" si="1"/>
        <v>0</v>
      </c>
      <c r="I37" s="288">
        <f t="shared" si="3"/>
        <v>0</v>
      </c>
    </row>
    <row r="38" spans="1:9" x14ac:dyDescent="0.25">
      <c r="A38" s="388"/>
      <c r="B38" s="389" t="s">
        <v>147</v>
      </c>
      <c r="C38" s="390"/>
      <c r="D38" s="392"/>
      <c r="E38" s="392"/>
      <c r="F38" s="392"/>
      <c r="G38" s="392">
        <f t="shared" si="5"/>
        <v>0</v>
      </c>
      <c r="H38" s="288">
        <f t="shared" si="1"/>
        <v>0</v>
      </c>
      <c r="I38" s="288">
        <f t="shared" si="3"/>
        <v>0</v>
      </c>
    </row>
    <row r="39" spans="1:9" x14ac:dyDescent="0.25">
      <c r="A39" s="193"/>
      <c r="B39" s="484"/>
      <c r="C39" s="189"/>
      <c r="D39" s="285"/>
      <c r="E39" s="187"/>
      <c r="F39" s="187"/>
      <c r="G39" s="284"/>
      <c r="H39" s="288">
        <f t="shared" si="1"/>
        <v>0</v>
      </c>
      <c r="I39" s="288">
        <f t="shared" si="3"/>
        <v>0</v>
      </c>
    </row>
    <row r="40" spans="1:9" x14ac:dyDescent="0.25">
      <c r="A40" s="185" t="s">
        <v>105</v>
      </c>
      <c r="B40" s="251" t="s">
        <v>106</v>
      </c>
      <c r="C40" s="191"/>
      <c r="D40" s="286">
        <f>D45+D48</f>
        <v>30120800</v>
      </c>
      <c r="E40" s="286">
        <f t="shared" ref="E40:G40" si="9">E45+E48</f>
        <v>30120800</v>
      </c>
      <c r="F40" s="286">
        <f t="shared" si="9"/>
        <v>0</v>
      </c>
      <c r="G40" s="286">
        <f t="shared" si="9"/>
        <v>0</v>
      </c>
      <c r="H40" s="288">
        <f t="shared" ref="H40:H56" si="10">IF(F40&gt;E40,1,0)</f>
        <v>0</v>
      </c>
      <c r="I40" s="288">
        <f t="shared" si="3"/>
        <v>0</v>
      </c>
    </row>
    <row r="41" spans="1:9" x14ac:dyDescent="0.25">
      <c r="A41" s="381"/>
      <c r="B41" s="382" t="s">
        <v>146</v>
      </c>
      <c r="C41" s="383"/>
      <c r="D41" s="511">
        <f>D46+D49</f>
        <v>30120800</v>
      </c>
      <c r="E41" s="511">
        <f t="shared" ref="E41:G41" si="11">E46+E49</f>
        <v>30120800</v>
      </c>
      <c r="F41" s="511">
        <f t="shared" si="11"/>
        <v>0</v>
      </c>
      <c r="G41" s="511">
        <f t="shared" si="11"/>
        <v>0</v>
      </c>
      <c r="H41" s="288">
        <f t="shared" si="10"/>
        <v>0</v>
      </c>
      <c r="I41" s="288">
        <f t="shared" si="3"/>
        <v>0</v>
      </c>
    </row>
    <row r="42" spans="1:9" x14ac:dyDescent="0.25">
      <c r="A42" s="381"/>
      <c r="B42" s="382" t="s">
        <v>147</v>
      </c>
      <c r="C42" s="383"/>
      <c r="D42" s="511">
        <f>D47+D50</f>
        <v>0</v>
      </c>
      <c r="E42" s="511">
        <f t="shared" ref="E42:G42" si="12">E47+E50</f>
        <v>0</v>
      </c>
      <c r="F42" s="511">
        <f t="shared" si="12"/>
        <v>0</v>
      </c>
      <c r="G42" s="511">
        <f t="shared" si="12"/>
        <v>0</v>
      </c>
      <c r="H42" s="288">
        <f t="shared" si="10"/>
        <v>0</v>
      </c>
      <c r="I42" s="288">
        <f t="shared" si="3"/>
        <v>0</v>
      </c>
    </row>
    <row r="43" spans="1:9" x14ac:dyDescent="0.25">
      <c r="A43" s="381"/>
      <c r="B43" s="382" t="s">
        <v>326</v>
      </c>
      <c r="C43" s="383"/>
      <c r="D43" s="511">
        <f>D40-D41-D42</f>
        <v>0</v>
      </c>
      <c r="E43" s="511">
        <f t="shared" ref="E43:G43" si="13">E40-E41-E42</f>
        <v>0</v>
      </c>
      <c r="F43" s="511">
        <f t="shared" si="13"/>
        <v>0</v>
      </c>
      <c r="G43" s="511">
        <f t="shared" si="13"/>
        <v>0</v>
      </c>
      <c r="H43" s="288">
        <f t="shared" ref="H43" si="14">IF(F43&gt;E43,1,0)</f>
        <v>0</v>
      </c>
      <c r="I43" s="288">
        <f t="shared" ref="I43" si="15">IF(G43&lt;0,1,0)</f>
        <v>0</v>
      </c>
    </row>
    <row r="44" spans="1:9" x14ac:dyDescent="0.25">
      <c r="A44" s="193"/>
      <c r="B44" s="481" t="s">
        <v>38</v>
      </c>
      <c r="C44" s="189"/>
      <c r="D44" s="285"/>
      <c r="E44" s="187"/>
      <c r="F44" s="187"/>
      <c r="G44" s="284"/>
      <c r="H44" s="288">
        <f t="shared" si="10"/>
        <v>0</v>
      </c>
      <c r="I44" s="288">
        <f t="shared" si="3"/>
        <v>0</v>
      </c>
    </row>
    <row r="45" spans="1:9" ht="171.6" x14ac:dyDescent="0.25">
      <c r="A45" s="193"/>
      <c r="B45" s="482" t="s">
        <v>341</v>
      </c>
      <c r="C45" s="144" t="s">
        <v>200</v>
      </c>
      <c r="D45" s="283">
        <v>30120800</v>
      </c>
      <c r="E45" s="187">
        <f>'Прочая  субсидия_МР  и  ГО'!AN38</f>
        <v>30120800</v>
      </c>
      <c r="F45" s="187">
        <f>'Прочая  субсидия_МР  и  ГО'!AO38</f>
        <v>0</v>
      </c>
      <c r="G45" s="284">
        <f t="shared" ref="G45:G50" si="16">D45-E45</f>
        <v>0</v>
      </c>
      <c r="H45" s="288">
        <f t="shared" si="10"/>
        <v>0</v>
      </c>
      <c r="I45" s="288">
        <f t="shared" si="3"/>
        <v>0</v>
      </c>
    </row>
    <row r="46" spans="1:9" x14ac:dyDescent="0.25">
      <c r="A46" s="388"/>
      <c r="B46" s="389" t="s">
        <v>146</v>
      </c>
      <c r="C46" s="390"/>
      <c r="D46" s="392">
        <f>D45</f>
        <v>30120800</v>
      </c>
      <c r="E46" s="392">
        <f>E45</f>
        <v>30120800</v>
      </c>
      <c r="F46" s="392">
        <f>F45</f>
        <v>0</v>
      </c>
      <c r="G46" s="392">
        <f t="shared" si="16"/>
        <v>0</v>
      </c>
      <c r="H46" s="288">
        <f t="shared" si="10"/>
        <v>0</v>
      </c>
      <c r="I46" s="288">
        <f t="shared" si="3"/>
        <v>0</v>
      </c>
    </row>
    <row r="47" spans="1:9" x14ac:dyDescent="0.25">
      <c r="A47" s="388"/>
      <c r="B47" s="389" t="s">
        <v>147</v>
      </c>
      <c r="C47" s="390"/>
      <c r="D47" s="392"/>
      <c r="E47" s="392"/>
      <c r="F47" s="392"/>
      <c r="G47" s="392">
        <f t="shared" si="16"/>
        <v>0</v>
      </c>
      <c r="H47" s="288">
        <f t="shared" si="10"/>
        <v>0</v>
      </c>
      <c r="I47" s="288">
        <f t="shared" si="3"/>
        <v>0</v>
      </c>
    </row>
    <row r="48" spans="1:9" ht="158.4" hidden="1" x14ac:dyDescent="0.25">
      <c r="A48" s="1274"/>
      <c r="B48" s="482" t="s">
        <v>287</v>
      </c>
      <c r="C48" s="144" t="s">
        <v>286</v>
      </c>
      <c r="D48" s="283">
        <f>122720850-88168800-28139300-6412750</f>
        <v>0</v>
      </c>
      <c r="E48" s="187">
        <f>'Прочая  субсидия_МР  и  ГО'!AP38</f>
        <v>0</v>
      </c>
      <c r="F48" s="187">
        <f>'Прочая  субсидия_МР  и  ГО'!AQ38</f>
        <v>0</v>
      </c>
      <c r="G48" s="284">
        <f t="shared" si="16"/>
        <v>0</v>
      </c>
      <c r="H48" s="288">
        <f t="shared" si="10"/>
        <v>0</v>
      </c>
      <c r="I48" s="288">
        <f t="shared" ref="I48:I50" si="17">IF(G48&lt;0,1,0)</f>
        <v>0</v>
      </c>
    </row>
    <row r="49" spans="1:10" hidden="1" x14ac:dyDescent="0.25">
      <c r="A49" s="388"/>
      <c r="B49" s="389" t="s">
        <v>146</v>
      </c>
      <c r="C49" s="390"/>
      <c r="D49" s="392"/>
      <c r="E49" s="392"/>
      <c r="F49" s="392"/>
      <c r="G49" s="392">
        <f t="shared" si="16"/>
        <v>0</v>
      </c>
      <c r="H49" s="288">
        <f t="shared" si="10"/>
        <v>0</v>
      </c>
      <c r="I49" s="288">
        <f t="shared" si="17"/>
        <v>0</v>
      </c>
    </row>
    <row r="50" spans="1:10" hidden="1" x14ac:dyDescent="0.25">
      <c r="A50" s="388"/>
      <c r="B50" s="389" t="s">
        <v>147</v>
      </c>
      <c r="C50" s="390"/>
      <c r="D50" s="392"/>
      <c r="E50" s="392"/>
      <c r="F50" s="392"/>
      <c r="G50" s="392">
        <f t="shared" si="16"/>
        <v>0</v>
      </c>
      <c r="H50" s="288">
        <f t="shared" si="10"/>
        <v>0</v>
      </c>
      <c r="I50" s="288">
        <f t="shared" si="17"/>
        <v>0</v>
      </c>
    </row>
    <row r="51" spans="1:10" hidden="1" x14ac:dyDescent="0.25">
      <c r="A51" s="388"/>
      <c r="B51" s="389" t="s">
        <v>326</v>
      </c>
      <c r="C51" s="390"/>
      <c r="D51" s="392">
        <f>D48</f>
        <v>0</v>
      </c>
      <c r="E51" s="392">
        <f t="shared" ref="E51:F51" si="18">E48</f>
        <v>0</v>
      </c>
      <c r="F51" s="392">
        <f t="shared" si="18"/>
        <v>0</v>
      </c>
      <c r="G51" s="392">
        <f t="shared" ref="G51" si="19">D51-E51</f>
        <v>0</v>
      </c>
      <c r="H51" s="288">
        <f t="shared" ref="H51" si="20">IF(F51&gt;E51,1,0)</f>
        <v>0</v>
      </c>
      <c r="I51" s="288">
        <f t="shared" ref="I51" si="21">IF(G51&lt;0,1,0)</f>
        <v>0</v>
      </c>
    </row>
    <row r="52" spans="1:10" s="846" customFormat="1" x14ac:dyDescent="0.25">
      <c r="A52" s="249"/>
      <c r="B52" s="482"/>
      <c r="C52" s="250"/>
      <c r="D52" s="202"/>
      <c r="E52" s="200"/>
      <c r="F52" s="200"/>
      <c r="G52" s="287"/>
      <c r="H52" s="288">
        <f t="shared" si="10"/>
        <v>0</v>
      </c>
      <c r="I52" s="288">
        <f t="shared" si="3"/>
        <v>0</v>
      </c>
      <c r="J52" s="1405"/>
    </row>
    <row r="53" spans="1:10" x14ac:dyDescent="0.25">
      <c r="A53" s="185" t="s">
        <v>123</v>
      </c>
      <c r="B53" s="251" t="s">
        <v>150</v>
      </c>
      <c r="C53" s="191"/>
      <c r="D53" s="286">
        <f>D60+D57+D66+D63</f>
        <v>1315643807.53</v>
      </c>
      <c r="E53" s="286">
        <f t="shared" ref="E53:G53" si="22">E60+E57+E66+E63</f>
        <v>1315643807.53</v>
      </c>
      <c r="F53" s="286">
        <f t="shared" si="22"/>
        <v>117774771.65000001</v>
      </c>
      <c r="G53" s="286">
        <f t="shared" si="22"/>
        <v>0</v>
      </c>
      <c r="H53" s="288">
        <f t="shared" si="10"/>
        <v>0</v>
      </c>
      <c r="I53" s="288">
        <f t="shared" si="3"/>
        <v>0</v>
      </c>
    </row>
    <row r="54" spans="1:10" x14ac:dyDescent="0.25">
      <c r="A54" s="381"/>
      <c r="B54" s="382" t="s">
        <v>146</v>
      </c>
      <c r="C54" s="383"/>
      <c r="D54" s="511">
        <f>D61+D58+D67+D64</f>
        <v>667214591.59000003</v>
      </c>
      <c r="E54" s="511">
        <f t="shared" ref="E54:G54" si="23">E61+E58+E67+E64</f>
        <v>667214591.59000003</v>
      </c>
      <c r="F54" s="511">
        <f t="shared" si="23"/>
        <v>40737510.160000004</v>
      </c>
      <c r="G54" s="511">
        <f t="shared" si="23"/>
        <v>0</v>
      </c>
      <c r="H54" s="288">
        <f t="shared" si="10"/>
        <v>0</v>
      </c>
      <c r="I54" s="288">
        <f t="shared" si="3"/>
        <v>0</v>
      </c>
    </row>
    <row r="55" spans="1:10" x14ac:dyDescent="0.25">
      <c r="A55" s="381"/>
      <c r="B55" s="382" t="s">
        <v>147</v>
      </c>
      <c r="C55" s="383"/>
      <c r="D55" s="511">
        <f>D62+D59+D68+D65</f>
        <v>648429215.93999994</v>
      </c>
      <c r="E55" s="511">
        <f t="shared" ref="E55:G55" si="24">E62+E59+E68+E65</f>
        <v>648429215.93999994</v>
      </c>
      <c r="F55" s="511">
        <f t="shared" si="24"/>
        <v>77037261.489999995</v>
      </c>
      <c r="G55" s="511">
        <f t="shared" si="24"/>
        <v>0</v>
      </c>
      <c r="H55" s="288">
        <f t="shared" si="10"/>
        <v>0</v>
      </c>
      <c r="I55" s="288">
        <f t="shared" si="3"/>
        <v>0</v>
      </c>
    </row>
    <row r="56" spans="1:10" x14ac:dyDescent="0.25">
      <c r="A56" s="193"/>
      <c r="B56" s="481" t="s">
        <v>38</v>
      </c>
      <c r="C56" s="189"/>
      <c r="D56" s="285"/>
      <c r="E56" s="187"/>
      <c r="F56" s="187"/>
      <c r="G56" s="284"/>
      <c r="H56" s="288">
        <f t="shared" si="10"/>
        <v>0</v>
      </c>
      <c r="I56" s="288">
        <f t="shared" si="3"/>
        <v>0</v>
      </c>
    </row>
    <row r="57" spans="1:10" ht="198" x14ac:dyDescent="0.25">
      <c r="A57" s="264"/>
      <c r="B57" s="485" t="s">
        <v>228</v>
      </c>
      <c r="C57" s="144" t="s">
        <v>208</v>
      </c>
      <c r="D57" s="202">
        <f>117377978+79935110.78-30304528.8</f>
        <v>167008559.97999999</v>
      </c>
      <c r="E57" s="200">
        <f>'План и исполнение'!BT38</f>
        <v>167008559.98000002</v>
      </c>
      <c r="F57" s="200">
        <f>'План и исполнение'!BX38</f>
        <v>8528911.879999999</v>
      </c>
      <c r="G57" s="284">
        <f t="shared" ref="G57" si="25">D57-E57</f>
        <v>0</v>
      </c>
      <c r="H57" s="288">
        <f t="shared" ref="H57:H59" si="26">IF(F57&gt;E57,1,0)</f>
        <v>0</v>
      </c>
      <c r="I57" s="288">
        <f t="shared" si="3"/>
        <v>0</v>
      </c>
    </row>
    <row r="58" spans="1:10" x14ac:dyDescent="0.25">
      <c r="A58" s="388"/>
      <c r="B58" s="389" t="s">
        <v>146</v>
      </c>
      <c r="C58" s="390"/>
      <c r="D58" s="392"/>
      <c r="E58" s="392"/>
      <c r="F58" s="392"/>
      <c r="G58" s="392">
        <v>0</v>
      </c>
      <c r="H58" s="288">
        <f t="shared" si="26"/>
        <v>0</v>
      </c>
      <c r="I58" s="288">
        <f t="shared" ref="I58:I132" si="27">IF(G58&lt;0,1,0)</f>
        <v>0</v>
      </c>
    </row>
    <row r="59" spans="1:10" x14ac:dyDescent="0.25">
      <c r="A59" s="388"/>
      <c r="B59" s="389" t="s">
        <v>147</v>
      </c>
      <c r="C59" s="390"/>
      <c r="D59" s="392">
        <f>D57-D58</f>
        <v>167008559.97999999</v>
      </c>
      <c r="E59" s="392">
        <f>E57-E58</f>
        <v>167008559.98000002</v>
      </c>
      <c r="F59" s="392">
        <f>F57-F58</f>
        <v>8528911.879999999</v>
      </c>
      <c r="G59" s="392">
        <f>G57-G58</f>
        <v>0</v>
      </c>
      <c r="H59" s="288">
        <f t="shared" si="26"/>
        <v>0</v>
      </c>
      <c r="I59" s="288">
        <f t="shared" si="27"/>
        <v>0</v>
      </c>
    </row>
    <row r="60" spans="1:10" ht="158.4" x14ac:dyDescent="0.25">
      <c r="A60" s="264"/>
      <c r="B60" s="485" t="s">
        <v>226</v>
      </c>
      <c r="C60" s="144" t="s">
        <v>219</v>
      </c>
      <c r="D60" s="202">
        <f>462581530+66570094.58-9695471.58</f>
        <v>519456153</v>
      </c>
      <c r="E60" s="200">
        <f>'План и исполнение'!BU38</f>
        <v>519456153</v>
      </c>
      <c r="F60" s="200">
        <f>'План и исполнение'!BY38</f>
        <v>40737510.160000004</v>
      </c>
      <c r="G60" s="284">
        <f t="shared" ref="G60:G62" si="28">D60-E60</f>
        <v>0</v>
      </c>
      <c r="H60" s="288">
        <f>IF(F60&gt;E60,1,0)</f>
        <v>0</v>
      </c>
      <c r="I60" s="288">
        <f t="shared" si="27"/>
        <v>0</v>
      </c>
    </row>
    <row r="61" spans="1:10" x14ac:dyDescent="0.25">
      <c r="A61" s="388"/>
      <c r="B61" s="389" t="s">
        <v>146</v>
      </c>
      <c r="C61" s="390"/>
      <c r="D61" s="392">
        <f>D60</f>
        <v>519456153</v>
      </c>
      <c r="E61" s="392">
        <f>E60</f>
        <v>519456153</v>
      </c>
      <c r="F61" s="392">
        <f>F60</f>
        <v>40737510.160000004</v>
      </c>
      <c r="G61" s="392">
        <f t="shared" si="28"/>
        <v>0</v>
      </c>
      <c r="H61" s="288">
        <f>IF(F61&gt;E61,1,0)</f>
        <v>0</v>
      </c>
      <c r="I61" s="288">
        <f t="shared" si="27"/>
        <v>0</v>
      </c>
    </row>
    <row r="62" spans="1:10" x14ac:dyDescent="0.25">
      <c r="A62" s="388"/>
      <c r="B62" s="389" t="s">
        <v>147</v>
      </c>
      <c r="C62" s="390"/>
      <c r="D62" s="392"/>
      <c r="E62" s="392"/>
      <c r="F62" s="392"/>
      <c r="G62" s="392">
        <f t="shared" si="28"/>
        <v>0</v>
      </c>
      <c r="H62" s="288">
        <f>IF(F62&gt;E62,1,0)</f>
        <v>0</v>
      </c>
      <c r="I62" s="288">
        <f t="shared" si="27"/>
        <v>0</v>
      </c>
    </row>
    <row r="63" spans="1:10" ht="132" x14ac:dyDescent="0.25">
      <c r="A63" s="1118"/>
      <c r="B63" s="485" t="s">
        <v>343</v>
      </c>
      <c r="C63" s="144" t="s">
        <v>342</v>
      </c>
      <c r="D63" s="202">
        <v>25298394.550000001</v>
      </c>
      <c r="E63" s="200">
        <f>'Прочая  субсидия_МР  и  ГО'!AL38</f>
        <v>25298394.549999997</v>
      </c>
      <c r="F63" s="200">
        <f>'Прочая  субсидия_МР  и  ГО'!AM38</f>
        <v>2149048.4899999998</v>
      </c>
      <c r="G63" s="284">
        <f t="shared" ref="G63:G65" si="29">D63-E63</f>
        <v>0</v>
      </c>
      <c r="H63" s="288">
        <f t="shared" ref="H63:H65" si="30">IF(F63&gt;E63,1,0)</f>
        <v>0</v>
      </c>
      <c r="I63" s="288">
        <f t="shared" ref="I63:I65" si="31">IF(G63&lt;0,1,0)</f>
        <v>0</v>
      </c>
    </row>
    <row r="64" spans="1:10" x14ac:dyDescent="0.25">
      <c r="A64" s="388"/>
      <c r="B64" s="389" t="s">
        <v>146</v>
      </c>
      <c r="C64" s="390"/>
      <c r="D64" s="392"/>
      <c r="E64" s="392"/>
      <c r="F64" s="392"/>
      <c r="G64" s="392">
        <f t="shared" si="29"/>
        <v>0</v>
      </c>
      <c r="H64" s="288">
        <f t="shared" si="30"/>
        <v>0</v>
      </c>
      <c r="I64" s="288">
        <f t="shared" si="31"/>
        <v>0</v>
      </c>
    </row>
    <row r="65" spans="1:9" x14ac:dyDescent="0.25">
      <c r="A65" s="388"/>
      <c r="B65" s="389" t="s">
        <v>147</v>
      </c>
      <c r="C65" s="390"/>
      <c r="D65" s="392">
        <f>D63-D64</f>
        <v>25298394.550000001</v>
      </c>
      <c r="E65" s="392">
        <f>E63-E64</f>
        <v>25298394.549999997</v>
      </c>
      <c r="F65" s="392">
        <f>F63-F64</f>
        <v>2149048.4899999998</v>
      </c>
      <c r="G65" s="392">
        <f t="shared" si="29"/>
        <v>0</v>
      </c>
      <c r="H65" s="288">
        <f t="shared" si="30"/>
        <v>0</v>
      </c>
      <c r="I65" s="288">
        <f t="shared" si="31"/>
        <v>0</v>
      </c>
    </row>
    <row r="66" spans="1:9" ht="211.2" x14ac:dyDescent="0.25">
      <c r="A66" s="264"/>
      <c r="B66" s="485" t="s">
        <v>705</v>
      </c>
      <c r="C66" s="144" t="s">
        <v>703</v>
      </c>
      <c r="D66" s="202">
        <v>603880700</v>
      </c>
      <c r="E66" s="200">
        <f>'План и исполнение'!BV38</f>
        <v>603880700</v>
      </c>
      <c r="F66" s="200">
        <f>'План и исполнение'!BZ38</f>
        <v>66359301.120000005</v>
      </c>
      <c r="G66" s="284">
        <f>D66-E66</f>
        <v>0</v>
      </c>
      <c r="H66" s="288">
        <f>IF(F66&gt;E66,1,0)</f>
        <v>0</v>
      </c>
      <c r="I66" s="288">
        <f>IF(G66&lt;0,1,0)</f>
        <v>0</v>
      </c>
    </row>
    <row r="67" spans="1:9" x14ac:dyDescent="0.25">
      <c r="A67" s="388"/>
      <c r="B67" s="389" t="s">
        <v>146</v>
      </c>
      <c r="C67" s="1563"/>
      <c r="D67" s="391">
        <f>148891466-1133027.41</f>
        <v>147758438.59</v>
      </c>
      <c r="E67" s="460">
        <f>D67</f>
        <v>147758438.59</v>
      </c>
      <c r="F67" s="391"/>
      <c r="G67" s="392">
        <f>D67-E67</f>
        <v>0</v>
      </c>
      <c r="H67" s="288">
        <f>IF(F67&gt;E67,1,0)</f>
        <v>0</v>
      </c>
      <c r="I67" s="288">
        <f>IF(G67&lt;0,1,0)</f>
        <v>0</v>
      </c>
    </row>
    <row r="68" spans="1:9" x14ac:dyDescent="0.25">
      <c r="A68" s="388"/>
      <c r="B68" s="389" t="s">
        <v>147</v>
      </c>
      <c r="C68" s="390"/>
      <c r="D68" s="460">
        <f>D66-D67</f>
        <v>456122261.40999997</v>
      </c>
      <c r="E68" s="460">
        <f t="shared" ref="E68:F68" si="32">E66-E67</f>
        <v>456122261.40999997</v>
      </c>
      <c r="F68" s="460">
        <f t="shared" si="32"/>
        <v>66359301.120000005</v>
      </c>
      <c r="G68" s="392">
        <f>D68-E68</f>
        <v>0</v>
      </c>
      <c r="H68" s="288">
        <f>IF(F68&gt;E68,1,0)</f>
        <v>0</v>
      </c>
      <c r="I68" s="288">
        <f>IF(G68&lt;0,1,0)</f>
        <v>0</v>
      </c>
    </row>
    <row r="69" spans="1:9" x14ac:dyDescent="0.25">
      <c r="A69" s="193"/>
      <c r="B69" s="484"/>
      <c r="C69" s="189"/>
      <c r="D69" s="285"/>
      <c r="E69" s="187"/>
      <c r="F69" s="187"/>
      <c r="G69" s="284"/>
      <c r="H69" s="288">
        <f t="shared" ref="H69:H73" si="33">IF(F69&gt;E69,1,0)</f>
        <v>0</v>
      </c>
      <c r="I69" s="288">
        <f t="shared" si="27"/>
        <v>0</v>
      </c>
    </row>
    <row r="70" spans="1:9" ht="26.4" x14ac:dyDescent="0.25">
      <c r="A70" s="185" t="s">
        <v>115</v>
      </c>
      <c r="B70" s="251" t="s">
        <v>116</v>
      </c>
      <c r="C70" s="191"/>
      <c r="D70" s="286">
        <f t="shared" ref="D70:G72" si="34">D95+D101+D104+D86+D83+D92+D98+D89+D74+D80+D77</f>
        <v>48648977.890000001</v>
      </c>
      <c r="E70" s="286">
        <f t="shared" si="34"/>
        <v>48648977.890000008</v>
      </c>
      <c r="F70" s="286">
        <f t="shared" si="34"/>
        <v>43779957.890000008</v>
      </c>
      <c r="G70" s="286">
        <f t="shared" si="34"/>
        <v>0</v>
      </c>
      <c r="H70" s="288">
        <f t="shared" si="33"/>
        <v>0</v>
      </c>
      <c r="I70" s="288">
        <f t="shared" si="27"/>
        <v>0</v>
      </c>
    </row>
    <row r="71" spans="1:9" x14ac:dyDescent="0.25">
      <c r="A71" s="381"/>
      <c r="B71" s="382" t="s">
        <v>146</v>
      </c>
      <c r="C71" s="383"/>
      <c r="D71" s="511">
        <f t="shared" si="34"/>
        <v>48648977.890000001</v>
      </c>
      <c r="E71" s="511">
        <f t="shared" si="34"/>
        <v>48648977.890000008</v>
      </c>
      <c r="F71" s="511">
        <f t="shared" si="34"/>
        <v>43779957.890000008</v>
      </c>
      <c r="G71" s="511">
        <f t="shared" si="34"/>
        <v>0</v>
      </c>
      <c r="H71" s="288">
        <f t="shared" si="33"/>
        <v>0</v>
      </c>
      <c r="I71" s="288">
        <f t="shared" si="27"/>
        <v>0</v>
      </c>
    </row>
    <row r="72" spans="1:9" x14ac:dyDescent="0.25">
      <c r="A72" s="381"/>
      <c r="B72" s="382" t="s">
        <v>147</v>
      </c>
      <c r="C72" s="383"/>
      <c r="D72" s="511">
        <f t="shared" si="34"/>
        <v>0</v>
      </c>
      <c r="E72" s="511">
        <f t="shared" si="34"/>
        <v>0</v>
      </c>
      <c r="F72" s="511">
        <f t="shared" si="34"/>
        <v>0</v>
      </c>
      <c r="G72" s="511">
        <f t="shared" si="34"/>
        <v>0</v>
      </c>
      <c r="H72" s="288">
        <f t="shared" si="33"/>
        <v>0</v>
      </c>
      <c r="I72" s="288">
        <f t="shared" si="27"/>
        <v>0</v>
      </c>
    </row>
    <row r="73" spans="1:9" x14ac:dyDescent="0.25">
      <c r="A73" s="193"/>
      <c r="B73" s="481" t="s">
        <v>38</v>
      </c>
      <c r="C73" s="189"/>
      <c r="D73" s="285"/>
      <c r="E73" s="187"/>
      <c r="F73" s="187"/>
      <c r="G73" s="284"/>
      <c r="H73" s="288">
        <f t="shared" si="33"/>
        <v>0</v>
      </c>
      <c r="I73" s="288">
        <f t="shared" si="27"/>
        <v>0</v>
      </c>
    </row>
    <row r="74" spans="1:9" ht="132" x14ac:dyDescent="0.25">
      <c r="A74" s="193"/>
      <c r="B74" s="482" t="s">
        <v>563</v>
      </c>
      <c r="C74" s="250" t="s">
        <v>562</v>
      </c>
      <c r="D74" s="283">
        <v>16700000</v>
      </c>
      <c r="E74" s="187">
        <f>'Прочая  субсидия_МР  и  ГО'!R38</f>
        <v>16700000.000000002</v>
      </c>
      <c r="F74" s="187">
        <f>'Прочая  субсидия_МР  и  ГО'!S38</f>
        <v>16700000.000000002</v>
      </c>
      <c r="G74" s="284">
        <f>D74-E74</f>
        <v>0</v>
      </c>
      <c r="H74" s="288">
        <f>IF(F74&gt;E74,1,0)</f>
        <v>0</v>
      </c>
      <c r="I74" s="288">
        <f>IF(G74&lt;0,1,0)</f>
        <v>0</v>
      </c>
    </row>
    <row r="75" spans="1:9" x14ac:dyDescent="0.25">
      <c r="A75" s="388"/>
      <c r="B75" s="389" t="s">
        <v>146</v>
      </c>
      <c r="C75" s="390"/>
      <c r="D75" s="392">
        <f>D74</f>
        <v>16700000</v>
      </c>
      <c r="E75" s="392">
        <f>E74</f>
        <v>16700000.000000002</v>
      </c>
      <c r="F75" s="392">
        <f>F74</f>
        <v>16700000.000000002</v>
      </c>
      <c r="G75" s="392">
        <f>D75-E75</f>
        <v>0</v>
      </c>
      <c r="H75" s="288">
        <f>IF(F75&gt;E75,1,0)</f>
        <v>0</v>
      </c>
      <c r="I75" s="288">
        <f>IF(G75&lt;0,1,0)</f>
        <v>0</v>
      </c>
    </row>
    <row r="76" spans="1:9" x14ac:dyDescent="0.25">
      <c r="A76" s="388"/>
      <c r="B76" s="389" t="s">
        <v>147</v>
      </c>
      <c r="C76" s="390"/>
      <c r="D76" s="392"/>
      <c r="E76" s="392"/>
      <c r="F76" s="392"/>
      <c r="G76" s="392">
        <f>D76-E76</f>
        <v>0</v>
      </c>
      <c r="H76" s="288">
        <f>IF(F76&gt;E76,1,0)</f>
        <v>0</v>
      </c>
      <c r="I76" s="288">
        <f>IF(G76&lt;0,1,0)</f>
        <v>0</v>
      </c>
    </row>
    <row r="77" spans="1:9" ht="198" x14ac:dyDescent="0.25">
      <c r="A77" s="264"/>
      <c r="B77" s="483" t="s">
        <v>758</v>
      </c>
      <c r="C77" s="144" t="s">
        <v>759</v>
      </c>
      <c r="D77" s="283">
        <v>4869020</v>
      </c>
      <c r="E77" s="200">
        <f>'Прочая  субсидия_МР  и  ГО'!T38</f>
        <v>4869020</v>
      </c>
      <c r="F77" s="200">
        <f>'Прочая  субсидия_МР  и  ГО'!U38</f>
        <v>0</v>
      </c>
      <c r="G77" s="284">
        <f t="shared" ref="G77:G79" si="35">D77-E77</f>
        <v>0</v>
      </c>
      <c r="H77" s="288">
        <f t="shared" ref="H77:H79" si="36">IF(F77&gt;E77,1,0)</f>
        <v>0</v>
      </c>
      <c r="I77" s="288">
        <f t="shared" ref="I77:I79" si="37">IF(G77&lt;0,1,0)</f>
        <v>0</v>
      </c>
    </row>
    <row r="78" spans="1:9" x14ac:dyDescent="0.25">
      <c r="A78" s="388"/>
      <c r="B78" s="389" t="s">
        <v>146</v>
      </c>
      <c r="C78" s="390"/>
      <c r="D78" s="460">
        <f>D77</f>
        <v>4869020</v>
      </c>
      <c r="E78" s="460">
        <f>E77</f>
        <v>4869020</v>
      </c>
      <c r="F78" s="460">
        <f>F77</f>
        <v>0</v>
      </c>
      <c r="G78" s="392">
        <f t="shared" si="35"/>
        <v>0</v>
      </c>
      <c r="H78" s="288">
        <f t="shared" si="36"/>
        <v>0</v>
      </c>
      <c r="I78" s="288">
        <f t="shared" si="37"/>
        <v>0</v>
      </c>
    </row>
    <row r="79" spans="1:9" x14ac:dyDescent="0.25">
      <c r="A79" s="388"/>
      <c r="B79" s="389" t="s">
        <v>147</v>
      </c>
      <c r="C79" s="390"/>
      <c r="D79" s="392">
        <f>D77-D78</f>
        <v>0</v>
      </c>
      <c r="E79" s="392">
        <f>E77-E78</f>
        <v>0</v>
      </c>
      <c r="F79" s="392">
        <f>F77-F78</f>
        <v>0</v>
      </c>
      <c r="G79" s="392">
        <f t="shared" si="35"/>
        <v>0</v>
      </c>
      <c r="H79" s="288">
        <f t="shared" si="36"/>
        <v>0</v>
      </c>
      <c r="I79" s="288">
        <f t="shared" si="37"/>
        <v>0</v>
      </c>
    </row>
    <row r="80" spans="1:9" ht="198" hidden="1" x14ac:dyDescent="0.25">
      <c r="A80" s="1121"/>
      <c r="B80" s="483" t="s">
        <v>865</v>
      </c>
      <c r="C80" s="144" t="s">
        <v>864</v>
      </c>
      <c r="D80" s="283">
        <f>10178060-10178060</f>
        <v>0</v>
      </c>
      <c r="E80" s="187">
        <f>'План и исполнение'!LS37</f>
        <v>0</v>
      </c>
      <c r="F80" s="187">
        <f>'План и исполнение'!LX37</f>
        <v>0</v>
      </c>
      <c r="G80" s="284">
        <f t="shared" ref="G80:G82" si="38">D80-E80</f>
        <v>0</v>
      </c>
      <c r="H80" s="288">
        <f t="shared" ref="H80:H82" si="39">IF(F80&gt;E80,1,0)</f>
        <v>0</v>
      </c>
      <c r="I80" s="288">
        <f t="shared" ref="I80:I82" si="40">IF(G80&lt;0,1,0)</f>
        <v>0</v>
      </c>
    </row>
    <row r="81" spans="1:10" hidden="1" x14ac:dyDescent="0.25">
      <c r="A81" s="388"/>
      <c r="B81" s="389" t="s">
        <v>146</v>
      </c>
      <c r="C81" s="390"/>
      <c r="D81" s="392">
        <f>D80</f>
        <v>0</v>
      </c>
      <c r="E81" s="392">
        <f>E80</f>
        <v>0</v>
      </c>
      <c r="F81" s="392">
        <f>F80</f>
        <v>0</v>
      </c>
      <c r="G81" s="392">
        <f t="shared" si="38"/>
        <v>0</v>
      </c>
      <c r="H81" s="288">
        <f t="shared" si="39"/>
        <v>0</v>
      </c>
      <c r="I81" s="288">
        <f t="shared" si="40"/>
        <v>0</v>
      </c>
    </row>
    <row r="82" spans="1:10" hidden="1" x14ac:dyDescent="0.25">
      <c r="A82" s="388"/>
      <c r="B82" s="389" t="s">
        <v>147</v>
      </c>
      <c r="C82" s="390"/>
      <c r="D82" s="392"/>
      <c r="E82" s="392"/>
      <c r="F82" s="392"/>
      <c r="G82" s="392">
        <f t="shared" si="38"/>
        <v>0</v>
      </c>
      <c r="H82" s="288">
        <f t="shared" si="39"/>
        <v>0</v>
      </c>
      <c r="I82" s="288">
        <f t="shared" si="40"/>
        <v>0</v>
      </c>
    </row>
    <row r="83" spans="1:10" ht="224.4" hidden="1" x14ac:dyDescent="0.25">
      <c r="A83" s="1118"/>
      <c r="B83" s="1598" t="s">
        <v>314</v>
      </c>
      <c r="C83" s="144" t="s">
        <v>267</v>
      </c>
      <c r="D83" s="283"/>
      <c r="E83" s="200">
        <f>'План и исполнение'!LR37</f>
        <v>0</v>
      </c>
      <c r="F83" s="200">
        <f>'План и исполнение'!LW37</f>
        <v>0</v>
      </c>
      <c r="G83" s="284">
        <f t="shared" ref="G83:G94" si="41">D83-E83</f>
        <v>0</v>
      </c>
      <c r="H83" s="288">
        <f t="shared" ref="H83:H94" si="42">IF(F83&gt;E83,1,0)</f>
        <v>0</v>
      </c>
      <c r="I83" s="288">
        <f t="shared" ref="I83:I94" si="43">IF(G83&lt;0,1,0)</f>
        <v>0</v>
      </c>
    </row>
    <row r="84" spans="1:10" hidden="1" x14ac:dyDescent="0.25">
      <c r="A84" s="388"/>
      <c r="B84" s="389" t="s">
        <v>146</v>
      </c>
      <c r="C84" s="390"/>
      <c r="D84" s="391">
        <v>0</v>
      </c>
      <c r="E84" s="391">
        <v>0</v>
      </c>
      <c r="F84" s="391">
        <v>0</v>
      </c>
      <c r="G84" s="392">
        <f t="shared" si="41"/>
        <v>0</v>
      </c>
      <c r="H84" s="288">
        <f t="shared" si="42"/>
        <v>0</v>
      </c>
      <c r="I84" s="288">
        <f t="shared" si="43"/>
        <v>0</v>
      </c>
    </row>
    <row r="85" spans="1:10" hidden="1" x14ac:dyDescent="0.25">
      <c r="A85" s="388"/>
      <c r="B85" s="389" t="s">
        <v>147</v>
      </c>
      <c r="C85" s="390"/>
      <c r="D85" s="392">
        <f>D83-D84</f>
        <v>0</v>
      </c>
      <c r="E85" s="392">
        <f>E83-E84</f>
        <v>0</v>
      </c>
      <c r="F85" s="392">
        <f>F83-F84</f>
        <v>0</v>
      </c>
      <c r="G85" s="392">
        <f t="shared" si="41"/>
        <v>0</v>
      </c>
      <c r="H85" s="288">
        <f t="shared" si="42"/>
        <v>0</v>
      </c>
      <c r="I85" s="288">
        <f t="shared" si="43"/>
        <v>0</v>
      </c>
    </row>
    <row r="86" spans="1:10" ht="316.8" hidden="1" x14ac:dyDescent="0.25">
      <c r="A86" s="1124"/>
      <c r="B86" s="483" t="s">
        <v>253</v>
      </c>
      <c r="C86" s="144" t="s">
        <v>252</v>
      </c>
      <c r="D86" s="950"/>
      <c r="E86" s="200">
        <f>'План и исполнение'!MC37</f>
        <v>0</v>
      </c>
      <c r="F86" s="200">
        <f>'План и исполнение'!MG37</f>
        <v>0</v>
      </c>
      <c r="G86" s="284">
        <f t="shared" si="41"/>
        <v>0</v>
      </c>
      <c r="H86" s="288">
        <f t="shared" si="42"/>
        <v>0</v>
      </c>
      <c r="I86" s="288">
        <f t="shared" si="43"/>
        <v>0</v>
      </c>
      <c r="J86" s="1404">
        <f>D86+D89</f>
        <v>0</v>
      </c>
    </row>
    <row r="87" spans="1:10" hidden="1" x14ac:dyDescent="0.25">
      <c r="A87" s="388"/>
      <c r="B87" s="389" t="s">
        <v>146</v>
      </c>
      <c r="C87" s="390"/>
      <c r="D87" s="460">
        <f>D86</f>
        <v>0</v>
      </c>
      <c r="E87" s="460">
        <f>E86</f>
        <v>0</v>
      </c>
      <c r="F87" s="460">
        <f>F86</f>
        <v>0</v>
      </c>
      <c r="G87" s="460">
        <f>G86</f>
        <v>0</v>
      </c>
      <c r="H87" s="288">
        <f t="shared" si="42"/>
        <v>0</v>
      </c>
      <c r="I87" s="288">
        <f t="shared" si="43"/>
        <v>0</v>
      </c>
    </row>
    <row r="88" spans="1:10" hidden="1" x14ac:dyDescent="0.25">
      <c r="A88" s="388"/>
      <c r="B88" s="389" t="s">
        <v>147</v>
      </c>
      <c r="C88" s="390"/>
      <c r="D88" s="392">
        <f>D86-D87</f>
        <v>0</v>
      </c>
      <c r="E88" s="392">
        <f>E86-E87</f>
        <v>0</v>
      </c>
      <c r="F88" s="392">
        <f>F86-F87</f>
        <v>0</v>
      </c>
      <c r="G88" s="392">
        <f t="shared" si="41"/>
        <v>0</v>
      </c>
      <c r="H88" s="288">
        <f t="shared" si="42"/>
        <v>0</v>
      </c>
      <c r="I88" s="288">
        <f t="shared" si="43"/>
        <v>0</v>
      </c>
    </row>
    <row r="89" spans="1:10" hidden="1" x14ac:dyDescent="0.25">
      <c r="A89" s="724"/>
      <c r="B89" s="725" t="s">
        <v>58</v>
      </c>
      <c r="C89" s="711" t="s">
        <v>252</v>
      </c>
      <c r="D89" s="726"/>
      <c r="E89" s="723">
        <f>'План и исполнение'!MD37</f>
        <v>0</v>
      </c>
      <c r="F89" s="723">
        <f>'План и исполнение'!MH37</f>
        <v>0</v>
      </c>
      <c r="G89" s="727">
        <f t="shared" si="41"/>
        <v>0</v>
      </c>
      <c r="H89" s="288">
        <f t="shared" si="42"/>
        <v>0</v>
      </c>
      <c r="I89" s="288">
        <f>IF(G89&lt;0,1,0)</f>
        <v>0</v>
      </c>
      <c r="J89" s="1406"/>
    </row>
    <row r="90" spans="1:10" hidden="1" x14ac:dyDescent="0.25">
      <c r="A90" s="724"/>
      <c r="B90" s="728" t="s">
        <v>146</v>
      </c>
      <c r="C90" s="729"/>
      <c r="D90" s="723">
        <f>D89</f>
        <v>0</v>
      </c>
      <c r="E90" s="723">
        <f>E89</f>
        <v>0</v>
      </c>
      <c r="F90" s="723">
        <f>F89</f>
        <v>0</v>
      </c>
      <c r="G90" s="723">
        <f>G89</f>
        <v>0</v>
      </c>
      <c r="H90" s="288">
        <f t="shared" si="42"/>
        <v>0</v>
      </c>
      <c r="I90" s="288">
        <f>IF(G90&lt;0,1,0)</f>
        <v>0</v>
      </c>
    </row>
    <row r="91" spans="1:10" hidden="1" x14ac:dyDescent="0.25">
      <c r="A91" s="724"/>
      <c r="B91" s="728" t="s">
        <v>147</v>
      </c>
      <c r="C91" s="729"/>
      <c r="D91" s="727">
        <f>D89-D90</f>
        <v>0</v>
      </c>
      <c r="E91" s="727">
        <f>E89-E90</f>
        <v>0</v>
      </c>
      <c r="F91" s="727">
        <f>F89-F90</f>
        <v>0</v>
      </c>
      <c r="G91" s="727">
        <f>D91-E91</f>
        <v>0</v>
      </c>
      <c r="H91" s="288">
        <f t="shared" si="42"/>
        <v>0</v>
      </c>
      <c r="I91" s="288">
        <f>IF(G91&lt;0,1,0)</f>
        <v>0</v>
      </c>
    </row>
    <row r="92" spans="1:10" ht="250.8" x14ac:dyDescent="0.25">
      <c r="A92" s="264"/>
      <c r="B92" s="483" t="s">
        <v>269</v>
      </c>
      <c r="C92" s="144" t="s">
        <v>268</v>
      </c>
      <c r="D92" s="283">
        <v>5050157.8899999997</v>
      </c>
      <c r="E92" s="200">
        <f>'План и исполнение'!MB37</f>
        <v>5050157.8899999997</v>
      </c>
      <c r="F92" s="200">
        <f>'План и исполнение'!MF37</f>
        <v>5050157.8899999997</v>
      </c>
      <c r="G92" s="284">
        <f t="shared" si="41"/>
        <v>0</v>
      </c>
      <c r="H92" s="288">
        <f t="shared" si="42"/>
        <v>0</v>
      </c>
      <c r="I92" s="288">
        <f t="shared" si="43"/>
        <v>0</v>
      </c>
    </row>
    <row r="93" spans="1:10" x14ac:dyDescent="0.25">
      <c r="A93" s="388"/>
      <c r="B93" s="389" t="s">
        <v>146</v>
      </c>
      <c r="C93" s="390"/>
      <c r="D93" s="460">
        <f>D92</f>
        <v>5050157.8899999997</v>
      </c>
      <c r="E93" s="460">
        <f>E92</f>
        <v>5050157.8899999997</v>
      </c>
      <c r="F93" s="460">
        <f>F92</f>
        <v>5050157.8899999997</v>
      </c>
      <c r="G93" s="460">
        <f>G92</f>
        <v>0</v>
      </c>
      <c r="H93" s="288">
        <f t="shared" si="42"/>
        <v>0</v>
      </c>
      <c r="I93" s="288">
        <f t="shared" si="43"/>
        <v>0</v>
      </c>
    </row>
    <row r="94" spans="1:10" x14ac:dyDescent="0.25">
      <c r="A94" s="388"/>
      <c r="B94" s="389" t="s">
        <v>147</v>
      </c>
      <c r="C94" s="390"/>
      <c r="D94" s="392"/>
      <c r="E94" s="392"/>
      <c r="F94" s="392"/>
      <c r="G94" s="392">
        <f t="shared" si="41"/>
        <v>0</v>
      </c>
      <c r="H94" s="288">
        <f t="shared" si="42"/>
        <v>0</v>
      </c>
      <c r="I94" s="288">
        <f t="shared" si="43"/>
        <v>0</v>
      </c>
    </row>
    <row r="95" spans="1:10" ht="316.8" hidden="1" x14ac:dyDescent="0.25">
      <c r="A95" s="1121"/>
      <c r="B95" s="483" t="s">
        <v>486</v>
      </c>
      <c r="C95" s="144" t="s">
        <v>485</v>
      </c>
      <c r="D95" s="283"/>
      <c r="E95" s="200">
        <f>'План и исполнение'!LT37</f>
        <v>0</v>
      </c>
      <c r="F95" s="200">
        <f>'План и исполнение'!LY37</f>
        <v>0</v>
      </c>
      <c r="G95" s="284">
        <f t="shared" ref="G95:G100" si="44">D95-E95</f>
        <v>0</v>
      </c>
      <c r="H95" s="288">
        <f t="shared" ref="H95:H100" si="45">IF(F95&gt;E95,1,0)</f>
        <v>0</v>
      </c>
      <c r="I95" s="288">
        <f t="shared" ref="I95:I100" si="46">IF(G95&lt;0,1,0)</f>
        <v>0</v>
      </c>
      <c r="J95" s="1404">
        <f>D95+D98</f>
        <v>0</v>
      </c>
    </row>
    <row r="96" spans="1:10" hidden="1" x14ac:dyDescent="0.25">
      <c r="A96" s="388"/>
      <c r="B96" s="389" t="s">
        <v>146</v>
      </c>
      <c r="C96" s="390"/>
      <c r="D96" s="391">
        <v>0</v>
      </c>
      <c r="E96" s="391">
        <v>0</v>
      </c>
      <c r="F96" s="391">
        <v>0</v>
      </c>
      <c r="G96" s="392">
        <f t="shared" si="44"/>
        <v>0</v>
      </c>
      <c r="H96" s="288">
        <f t="shared" si="45"/>
        <v>0</v>
      </c>
      <c r="I96" s="288">
        <f t="shared" si="46"/>
        <v>0</v>
      </c>
    </row>
    <row r="97" spans="1:10" hidden="1" x14ac:dyDescent="0.25">
      <c r="A97" s="388"/>
      <c r="B97" s="389" t="s">
        <v>147</v>
      </c>
      <c r="C97" s="390"/>
      <c r="D97" s="392">
        <f>D95-D96</f>
        <v>0</v>
      </c>
      <c r="E97" s="392">
        <f>E95-E96</f>
        <v>0</v>
      </c>
      <c r="F97" s="392">
        <f>F95-F96</f>
        <v>0</v>
      </c>
      <c r="G97" s="392">
        <f t="shared" si="44"/>
        <v>0</v>
      </c>
      <c r="H97" s="288">
        <f t="shared" si="45"/>
        <v>0</v>
      </c>
      <c r="I97" s="288">
        <f t="shared" si="46"/>
        <v>0</v>
      </c>
    </row>
    <row r="98" spans="1:10" hidden="1" x14ac:dyDescent="0.25">
      <c r="A98" s="724"/>
      <c r="B98" s="725" t="s">
        <v>58</v>
      </c>
      <c r="C98" s="711" t="s">
        <v>485</v>
      </c>
      <c r="D98" s="726"/>
      <c r="E98" s="723">
        <f>'План и исполнение'!LU37</f>
        <v>0</v>
      </c>
      <c r="F98" s="723">
        <f>'План и исполнение'!LZ37</f>
        <v>0</v>
      </c>
      <c r="G98" s="727">
        <f t="shared" si="44"/>
        <v>0</v>
      </c>
      <c r="H98" s="288">
        <f t="shared" si="45"/>
        <v>0</v>
      </c>
      <c r="I98" s="288">
        <f t="shared" si="46"/>
        <v>0</v>
      </c>
    </row>
    <row r="99" spans="1:10" hidden="1" x14ac:dyDescent="0.25">
      <c r="A99" s="724"/>
      <c r="B99" s="728" t="s">
        <v>146</v>
      </c>
      <c r="C99" s="729"/>
      <c r="D99" s="730">
        <v>0</v>
      </c>
      <c r="E99" s="730">
        <v>0</v>
      </c>
      <c r="F99" s="730">
        <v>0</v>
      </c>
      <c r="G99" s="727">
        <f t="shared" si="44"/>
        <v>0</v>
      </c>
      <c r="H99" s="288">
        <f t="shared" si="45"/>
        <v>0</v>
      </c>
      <c r="I99" s="288">
        <f t="shared" si="46"/>
        <v>0</v>
      </c>
    </row>
    <row r="100" spans="1:10" hidden="1" x14ac:dyDescent="0.25">
      <c r="A100" s="724"/>
      <c r="B100" s="728" t="s">
        <v>147</v>
      </c>
      <c r="C100" s="729"/>
      <c r="D100" s="727">
        <f>D98-D99</f>
        <v>0</v>
      </c>
      <c r="E100" s="727">
        <f>E98-E99</f>
        <v>0</v>
      </c>
      <c r="F100" s="727">
        <f>F98-F99</f>
        <v>0</v>
      </c>
      <c r="G100" s="727">
        <f t="shared" si="44"/>
        <v>0</v>
      </c>
      <c r="H100" s="288">
        <f t="shared" si="45"/>
        <v>0</v>
      </c>
      <c r="I100" s="288">
        <f t="shared" si="46"/>
        <v>0</v>
      </c>
      <c r="J100" s="1406"/>
    </row>
    <row r="101" spans="1:10" ht="211.2" x14ac:dyDescent="0.25">
      <c r="A101" s="193"/>
      <c r="B101" s="482" t="s">
        <v>420</v>
      </c>
      <c r="C101" s="144" t="s">
        <v>201</v>
      </c>
      <c r="D101" s="283">
        <v>4029800</v>
      </c>
      <c r="E101" s="187">
        <f>'Прочая  субсидия_МР  и  ГО'!AH38</f>
        <v>4029800</v>
      </c>
      <c r="F101" s="187">
        <f>'Прочая  субсидия_МР  и  ГО'!AI38</f>
        <v>4029800</v>
      </c>
      <c r="G101" s="284">
        <f t="shared" ref="G101:G106" si="47">D101-E101</f>
        <v>0</v>
      </c>
      <c r="H101" s="288">
        <f t="shared" ref="H101:H122" si="48">IF(F101&gt;E101,1,0)</f>
        <v>0</v>
      </c>
      <c r="I101" s="288">
        <f t="shared" si="27"/>
        <v>0</v>
      </c>
    </row>
    <row r="102" spans="1:10" x14ac:dyDescent="0.25">
      <c r="A102" s="388"/>
      <c r="B102" s="389" t="s">
        <v>146</v>
      </c>
      <c r="C102" s="390"/>
      <c r="D102" s="392">
        <f>D101</f>
        <v>4029800</v>
      </c>
      <c r="E102" s="392">
        <f>E101</f>
        <v>4029800</v>
      </c>
      <c r="F102" s="392">
        <f>F101</f>
        <v>4029800</v>
      </c>
      <c r="G102" s="392">
        <f t="shared" si="47"/>
        <v>0</v>
      </c>
      <c r="H102" s="288">
        <f t="shared" si="48"/>
        <v>0</v>
      </c>
      <c r="I102" s="288">
        <f t="shared" si="27"/>
        <v>0</v>
      </c>
    </row>
    <row r="103" spans="1:10" x14ac:dyDescent="0.25">
      <c r="A103" s="388"/>
      <c r="B103" s="389" t="s">
        <v>147</v>
      </c>
      <c r="C103" s="390"/>
      <c r="D103" s="392"/>
      <c r="E103" s="392"/>
      <c r="F103" s="392"/>
      <c r="G103" s="392">
        <f t="shared" si="47"/>
        <v>0</v>
      </c>
      <c r="H103" s="288">
        <f t="shared" si="48"/>
        <v>0</v>
      </c>
      <c r="I103" s="288">
        <f t="shared" si="27"/>
        <v>0</v>
      </c>
    </row>
    <row r="104" spans="1:10" ht="158.4" x14ac:dyDescent="0.25">
      <c r="A104" s="193"/>
      <c r="B104" s="482" t="s">
        <v>418</v>
      </c>
      <c r="C104" s="144" t="s">
        <v>202</v>
      </c>
      <c r="D104" s="283">
        <f>16000000+2000000</f>
        <v>18000000</v>
      </c>
      <c r="E104" s="187">
        <f>'Прочая  субсидия_МР  и  ГО'!AJ38</f>
        <v>18000000.000000004</v>
      </c>
      <c r="F104" s="187">
        <f>'Прочая  субсидия_МР  и  ГО'!AK38</f>
        <v>18000000.000000004</v>
      </c>
      <c r="G104" s="284">
        <f t="shared" si="47"/>
        <v>0</v>
      </c>
      <c r="H104" s="288">
        <f t="shared" si="48"/>
        <v>0</v>
      </c>
      <c r="I104" s="288">
        <f t="shared" si="27"/>
        <v>0</v>
      </c>
    </row>
    <row r="105" spans="1:10" x14ac:dyDescent="0.25">
      <c r="A105" s="388"/>
      <c r="B105" s="389" t="s">
        <v>146</v>
      </c>
      <c r="C105" s="390"/>
      <c r="D105" s="392">
        <f>D104</f>
        <v>18000000</v>
      </c>
      <c r="E105" s="392">
        <f>E104</f>
        <v>18000000.000000004</v>
      </c>
      <c r="F105" s="392">
        <f>F104</f>
        <v>18000000.000000004</v>
      </c>
      <c r="G105" s="392">
        <f t="shared" si="47"/>
        <v>0</v>
      </c>
      <c r="H105" s="288">
        <f t="shared" si="48"/>
        <v>0</v>
      </c>
      <c r="I105" s="288">
        <f t="shared" si="27"/>
        <v>0</v>
      </c>
    </row>
    <row r="106" spans="1:10" x14ac:dyDescent="0.25">
      <c r="A106" s="388"/>
      <c r="B106" s="389" t="s">
        <v>147</v>
      </c>
      <c r="C106" s="390"/>
      <c r="D106" s="392"/>
      <c r="E106" s="392"/>
      <c r="F106" s="392"/>
      <c r="G106" s="392">
        <f t="shared" si="47"/>
        <v>0</v>
      </c>
      <c r="H106" s="288">
        <f t="shared" si="48"/>
        <v>0</v>
      </c>
      <c r="I106" s="288">
        <f t="shared" si="27"/>
        <v>0</v>
      </c>
    </row>
    <row r="107" spans="1:10" x14ac:dyDescent="0.25">
      <c r="A107" s="193"/>
      <c r="B107" s="484"/>
      <c r="C107" s="189"/>
      <c r="D107" s="285"/>
      <c r="E107" s="187"/>
      <c r="F107" s="187"/>
      <c r="G107" s="284"/>
      <c r="H107" s="288">
        <f t="shared" si="48"/>
        <v>0</v>
      </c>
      <c r="I107" s="288">
        <f t="shared" si="27"/>
        <v>0</v>
      </c>
    </row>
    <row r="108" spans="1:10" x14ac:dyDescent="0.25">
      <c r="A108" s="185" t="s">
        <v>129</v>
      </c>
      <c r="B108" s="251" t="s">
        <v>61</v>
      </c>
      <c r="C108" s="191"/>
      <c r="D108" s="286">
        <f>D117+D120+D123+D126+D113</f>
        <v>696115021.70000005</v>
      </c>
      <c r="E108" s="286">
        <f t="shared" ref="E108:G108" si="49">E117+E120+E123+E126+E113</f>
        <v>696115021.70000005</v>
      </c>
      <c r="F108" s="286">
        <f t="shared" si="49"/>
        <v>363771594.5</v>
      </c>
      <c r="G108" s="286">
        <f t="shared" si="49"/>
        <v>0</v>
      </c>
      <c r="H108" s="288">
        <f t="shared" si="48"/>
        <v>0</v>
      </c>
      <c r="I108" s="288">
        <f t="shared" si="27"/>
        <v>0</v>
      </c>
    </row>
    <row r="109" spans="1:10" x14ac:dyDescent="0.25">
      <c r="A109" s="381"/>
      <c r="B109" s="382" t="s">
        <v>146</v>
      </c>
      <c r="C109" s="383"/>
      <c r="D109" s="511">
        <f>D118+D121+D124+D127+D114</f>
        <v>0</v>
      </c>
      <c r="E109" s="511">
        <f t="shared" ref="E109:G109" si="50">E118+E121+E124+E127+E114</f>
        <v>0</v>
      </c>
      <c r="F109" s="511">
        <f t="shared" si="50"/>
        <v>0</v>
      </c>
      <c r="G109" s="511">
        <f t="shared" si="50"/>
        <v>0</v>
      </c>
      <c r="H109" s="288">
        <f t="shared" si="48"/>
        <v>0</v>
      </c>
      <c r="I109" s="288">
        <f t="shared" si="27"/>
        <v>0</v>
      </c>
    </row>
    <row r="110" spans="1:10" x14ac:dyDescent="0.25">
      <c r="A110" s="381"/>
      <c r="B110" s="382" t="s">
        <v>147</v>
      </c>
      <c r="C110" s="383"/>
      <c r="D110" s="511">
        <f>D119+D122+D125+D128+D115</f>
        <v>695403833.24000001</v>
      </c>
      <c r="E110" s="511">
        <f t="shared" ref="E110:G110" si="51">E119+E122+E125+E128+E115</f>
        <v>695403833.24000001</v>
      </c>
      <c r="F110" s="511">
        <f t="shared" si="51"/>
        <v>363060406.04000002</v>
      </c>
      <c r="G110" s="511">
        <f t="shared" si="51"/>
        <v>0</v>
      </c>
      <c r="H110" s="288">
        <f t="shared" si="48"/>
        <v>0</v>
      </c>
      <c r="I110" s="288">
        <f t="shared" si="27"/>
        <v>0</v>
      </c>
    </row>
    <row r="111" spans="1:10" x14ac:dyDescent="0.25">
      <c r="A111" s="381"/>
      <c r="B111" s="382" t="s">
        <v>326</v>
      </c>
      <c r="C111" s="383"/>
      <c r="D111" s="511">
        <f>D108-D109-D110</f>
        <v>711188.46000003815</v>
      </c>
      <c r="E111" s="511">
        <f t="shared" ref="E111:G111" si="52">E108-E109-E110</f>
        <v>711188.46000003815</v>
      </c>
      <c r="F111" s="511">
        <f t="shared" si="52"/>
        <v>711188.45999997854</v>
      </c>
      <c r="G111" s="511">
        <f t="shared" si="52"/>
        <v>0</v>
      </c>
      <c r="H111" s="288">
        <f t="shared" ref="H111" si="53">IF(F111&gt;E111,1,0)</f>
        <v>0</v>
      </c>
      <c r="I111" s="288">
        <f t="shared" ref="I111" si="54">IF(G111&lt;0,1,0)</f>
        <v>0</v>
      </c>
      <c r="J111" s="1457"/>
    </row>
    <row r="112" spans="1:10" x14ac:dyDescent="0.25">
      <c r="A112" s="193"/>
      <c r="B112" s="481" t="s">
        <v>38</v>
      </c>
      <c r="C112" s="189"/>
      <c r="D112" s="285"/>
      <c r="E112" s="187"/>
      <c r="F112" s="187"/>
      <c r="G112" s="284"/>
      <c r="H112" s="288">
        <f t="shared" si="48"/>
        <v>0</v>
      </c>
      <c r="I112" s="288">
        <f t="shared" si="27"/>
        <v>0</v>
      </c>
    </row>
    <row r="113" spans="1:10" ht="224.4" x14ac:dyDescent="0.25">
      <c r="A113" s="249"/>
      <c r="B113" s="683" t="s">
        <v>819</v>
      </c>
      <c r="C113" s="144" t="s">
        <v>818</v>
      </c>
      <c r="D113" s="684">
        <v>711188.46</v>
      </c>
      <c r="E113" s="200">
        <f>'План и исполнение'!CN37</f>
        <v>711188.46</v>
      </c>
      <c r="F113" s="200">
        <f>'План и исполнение'!CP37</f>
        <v>711188.46</v>
      </c>
      <c r="G113" s="284">
        <f>D113-E113</f>
        <v>0</v>
      </c>
      <c r="H113" s="288">
        <f t="shared" si="48"/>
        <v>0</v>
      </c>
      <c r="I113" s="288">
        <f t="shared" si="27"/>
        <v>0</v>
      </c>
      <c r="J113" s="1457"/>
    </row>
    <row r="114" spans="1:10" x14ac:dyDescent="0.25">
      <c r="A114" s="724"/>
      <c r="B114" s="728" t="s">
        <v>146</v>
      </c>
      <c r="C114" s="1466"/>
      <c r="D114" s="727"/>
      <c r="E114" s="727"/>
      <c r="F114" s="727"/>
      <c r="G114" s="727">
        <f>D114-E114</f>
        <v>0</v>
      </c>
      <c r="H114" s="288">
        <f t="shared" si="48"/>
        <v>0</v>
      </c>
      <c r="I114" s="288">
        <f t="shared" si="27"/>
        <v>0</v>
      </c>
      <c r="J114" s="1457"/>
    </row>
    <row r="115" spans="1:10" x14ac:dyDescent="0.25">
      <c r="A115" s="724"/>
      <c r="B115" s="728" t="s">
        <v>147</v>
      </c>
      <c r="C115" s="729"/>
      <c r="D115" s="727"/>
      <c r="E115" s="727"/>
      <c r="F115" s="727"/>
      <c r="G115" s="727">
        <f>D115-E115</f>
        <v>0</v>
      </c>
      <c r="H115" s="288">
        <f t="shared" si="48"/>
        <v>0</v>
      </c>
      <c r="I115" s="288">
        <f t="shared" si="27"/>
        <v>0</v>
      </c>
      <c r="J115" s="1457"/>
    </row>
    <row r="116" spans="1:10" x14ac:dyDescent="0.25">
      <c r="A116" s="724"/>
      <c r="B116" s="728" t="s">
        <v>326</v>
      </c>
      <c r="C116" s="729"/>
      <c r="D116" s="727">
        <f>D113</f>
        <v>711188.46</v>
      </c>
      <c r="E116" s="727">
        <f t="shared" ref="E116:F116" si="55">E113</f>
        <v>711188.46</v>
      </c>
      <c r="F116" s="727">
        <f t="shared" si="55"/>
        <v>711188.46</v>
      </c>
      <c r="G116" s="727">
        <f t="shared" ref="G116" si="56">D116-E116</f>
        <v>0</v>
      </c>
      <c r="H116" s="288">
        <f t="shared" si="48"/>
        <v>0</v>
      </c>
      <c r="I116" s="288">
        <f t="shared" si="27"/>
        <v>0</v>
      </c>
      <c r="J116" s="1457"/>
    </row>
    <row r="117" spans="1:10" ht="264" x14ac:dyDescent="0.25">
      <c r="A117" s="1118"/>
      <c r="B117" s="480" t="s">
        <v>528</v>
      </c>
      <c r="C117" s="144" t="s">
        <v>733</v>
      </c>
      <c r="D117" s="202">
        <v>540305661.38999999</v>
      </c>
      <c r="E117" s="187">
        <f>'План и исполнение'!CQ38</f>
        <v>540305661.38999999</v>
      </c>
      <c r="F117" s="200">
        <f>'План и исполнение'!CR38</f>
        <v>316742204.18000001</v>
      </c>
      <c r="G117" s="284">
        <f t="shared" ref="G117:G122" si="57">D117-E117</f>
        <v>0</v>
      </c>
      <c r="H117" s="288">
        <f t="shared" si="48"/>
        <v>0</v>
      </c>
      <c r="I117" s="288">
        <f t="shared" si="27"/>
        <v>0</v>
      </c>
    </row>
    <row r="118" spans="1:10" x14ac:dyDescent="0.25">
      <c r="A118" s="388"/>
      <c r="B118" s="389" t="s">
        <v>146</v>
      </c>
      <c r="C118" s="390"/>
      <c r="D118" s="391">
        <v>0</v>
      </c>
      <c r="E118" s="391">
        <v>0</v>
      </c>
      <c r="F118" s="391">
        <v>0</v>
      </c>
      <c r="G118" s="392">
        <f t="shared" si="57"/>
        <v>0</v>
      </c>
      <c r="H118" s="288">
        <f t="shared" si="48"/>
        <v>0</v>
      </c>
      <c r="I118" s="288">
        <f t="shared" si="27"/>
        <v>0</v>
      </c>
    </row>
    <row r="119" spans="1:10" x14ac:dyDescent="0.25">
      <c r="A119" s="388"/>
      <c r="B119" s="389" t="s">
        <v>147</v>
      </c>
      <c r="C119" s="390"/>
      <c r="D119" s="392">
        <f>D117-D118</f>
        <v>540305661.38999999</v>
      </c>
      <c r="E119" s="392">
        <f>E117-E118</f>
        <v>540305661.38999999</v>
      </c>
      <c r="F119" s="392">
        <f>F117-F118</f>
        <v>316742204.18000001</v>
      </c>
      <c r="G119" s="392">
        <f t="shared" si="57"/>
        <v>0</v>
      </c>
      <c r="H119" s="288">
        <f t="shared" si="48"/>
        <v>0</v>
      </c>
      <c r="I119" s="288">
        <f t="shared" si="27"/>
        <v>0</v>
      </c>
    </row>
    <row r="120" spans="1:10" ht="237.6" x14ac:dyDescent="0.25">
      <c r="A120" s="264"/>
      <c r="B120" s="487" t="s">
        <v>707</v>
      </c>
      <c r="C120" s="144" t="s">
        <v>706</v>
      </c>
      <c r="D120" s="202">
        <f>19585393.73+107676944.79</f>
        <v>127262338.52000001</v>
      </c>
      <c r="E120" s="187">
        <f>'План и исполнение'!CY38</f>
        <v>127262338.51999998</v>
      </c>
      <c r="F120" s="200">
        <f>'План и исполнение'!CZ38</f>
        <v>46318201.860000007</v>
      </c>
      <c r="G120" s="284">
        <f t="shared" si="57"/>
        <v>0</v>
      </c>
      <c r="H120" s="288">
        <f t="shared" si="48"/>
        <v>0</v>
      </c>
      <c r="I120" s="288">
        <f t="shared" si="27"/>
        <v>0</v>
      </c>
    </row>
    <row r="121" spans="1:10" x14ac:dyDescent="0.25">
      <c r="A121" s="388"/>
      <c r="B121" s="389" t="s">
        <v>146</v>
      </c>
      <c r="C121" s="390"/>
      <c r="D121" s="391"/>
      <c r="E121" s="391"/>
      <c r="F121" s="391"/>
      <c r="G121" s="392">
        <f t="shared" si="57"/>
        <v>0</v>
      </c>
      <c r="H121" s="288">
        <f t="shared" si="48"/>
        <v>0</v>
      </c>
      <c r="I121" s="288">
        <f t="shared" si="27"/>
        <v>0</v>
      </c>
    </row>
    <row r="122" spans="1:10" x14ac:dyDescent="0.25">
      <c r="A122" s="388"/>
      <c r="B122" s="389" t="s">
        <v>147</v>
      </c>
      <c r="C122" s="390"/>
      <c r="D122" s="392">
        <f>D120-D121</f>
        <v>127262338.52000001</v>
      </c>
      <c r="E122" s="392">
        <f>E120-E121</f>
        <v>127262338.51999998</v>
      </c>
      <c r="F122" s="392">
        <f>F120-F121</f>
        <v>46318201.860000007</v>
      </c>
      <c r="G122" s="392">
        <f t="shared" si="57"/>
        <v>0</v>
      </c>
      <c r="H122" s="288">
        <f t="shared" si="48"/>
        <v>0</v>
      </c>
      <c r="I122" s="288">
        <f t="shared" si="27"/>
        <v>0</v>
      </c>
    </row>
    <row r="123" spans="1:10" ht="145.19999999999999" x14ac:dyDescent="0.25">
      <c r="A123" s="249"/>
      <c r="B123" s="482" t="s">
        <v>712</v>
      </c>
      <c r="C123" s="144" t="s">
        <v>621</v>
      </c>
      <c r="D123" s="283">
        <v>7794033.3300000001</v>
      </c>
      <c r="E123" s="200">
        <f>'План и исполнение'!NZ37</f>
        <v>7794033.3300000001</v>
      </c>
      <c r="F123" s="200">
        <f>'План и исполнение'!OG37</f>
        <v>0</v>
      </c>
      <c r="G123" s="284">
        <f>D123-E123</f>
        <v>0</v>
      </c>
      <c r="H123" s="288">
        <f t="shared" ref="H123:H128" si="58">IF(F123&gt;E123,1,0)</f>
        <v>0</v>
      </c>
      <c r="I123" s="288">
        <f t="shared" ref="I123:I128" si="59">IF(G123&lt;0,1,0)</f>
        <v>0</v>
      </c>
      <c r="J123" s="1404">
        <f>D123+D126</f>
        <v>27835833.329999998</v>
      </c>
    </row>
    <row r="124" spans="1:10" x14ac:dyDescent="0.25">
      <c r="A124" s="388"/>
      <c r="B124" s="389" t="s">
        <v>146</v>
      </c>
      <c r="C124" s="390"/>
      <c r="D124" s="392"/>
      <c r="E124" s="392"/>
      <c r="F124" s="392"/>
      <c r="G124" s="392">
        <f>D124-E124</f>
        <v>0</v>
      </c>
      <c r="H124" s="288">
        <f t="shared" si="58"/>
        <v>0</v>
      </c>
      <c r="I124" s="288">
        <f t="shared" si="59"/>
        <v>0</v>
      </c>
    </row>
    <row r="125" spans="1:10" x14ac:dyDescent="0.25">
      <c r="A125" s="388"/>
      <c r="B125" s="389" t="s">
        <v>147</v>
      </c>
      <c r="C125" s="390"/>
      <c r="D125" s="392">
        <f>D123</f>
        <v>7794033.3300000001</v>
      </c>
      <c r="E125" s="392">
        <f t="shared" ref="E125:F125" si="60">E123</f>
        <v>7794033.3300000001</v>
      </c>
      <c r="F125" s="392">
        <f t="shared" si="60"/>
        <v>0</v>
      </c>
      <c r="G125" s="392">
        <f>D125-E125</f>
        <v>0</v>
      </c>
      <c r="H125" s="288">
        <f t="shared" si="58"/>
        <v>0</v>
      </c>
      <c r="I125" s="288">
        <f t="shared" si="59"/>
        <v>0</v>
      </c>
    </row>
    <row r="126" spans="1:10" x14ac:dyDescent="0.25">
      <c r="A126" s="724"/>
      <c r="B126" s="725" t="s">
        <v>58</v>
      </c>
      <c r="C126" s="711" t="s">
        <v>621</v>
      </c>
      <c r="D126" s="726">
        <v>20041800</v>
      </c>
      <c r="E126" s="723">
        <f>'План и исполнение'!OA37</f>
        <v>20041800</v>
      </c>
      <c r="F126" s="723">
        <f>'План и исполнение'!OH37</f>
        <v>0</v>
      </c>
      <c r="G126" s="727">
        <f>D126-E126</f>
        <v>0</v>
      </c>
      <c r="H126" s="288">
        <f t="shared" si="58"/>
        <v>0</v>
      </c>
      <c r="I126" s="288">
        <f t="shared" si="59"/>
        <v>0</v>
      </c>
    </row>
    <row r="127" spans="1:10" x14ac:dyDescent="0.25">
      <c r="A127" s="724"/>
      <c r="B127" s="728" t="s">
        <v>146</v>
      </c>
      <c r="C127" s="729"/>
      <c r="D127" s="727"/>
      <c r="E127" s="727"/>
      <c r="F127" s="727"/>
      <c r="G127" s="727">
        <f>D127-E127</f>
        <v>0</v>
      </c>
      <c r="H127" s="288">
        <f t="shared" si="58"/>
        <v>0</v>
      </c>
      <c r="I127" s="288">
        <f t="shared" si="59"/>
        <v>0</v>
      </c>
    </row>
    <row r="128" spans="1:10" x14ac:dyDescent="0.25">
      <c r="A128" s="724"/>
      <c r="B128" s="728" t="s">
        <v>147</v>
      </c>
      <c r="C128" s="729"/>
      <c r="D128" s="727">
        <f>D126</f>
        <v>20041800</v>
      </c>
      <c r="E128" s="727">
        <f t="shared" ref="E128:G128" si="61">E126</f>
        <v>20041800</v>
      </c>
      <c r="F128" s="727">
        <f t="shared" si="61"/>
        <v>0</v>
      </c>
      <c r="G128" s="727">
        <f t="shared" si="61"/>
        <v>0</v>
      </c>
      <c r="H128" s="288">
        <f t="shared" si="58"/>
        <v>0</v>
      </c>
      <c r="I128" s="288">
        <f t="shared" si="59"/>
        <v>0</v>
      </c>
      <c r="J128" s="1406"/>
    </row>
    <row r="129" spans="1:10" s="846" customFormat="1" x14ac:dyDescent="0.25">
      <c r="A129" s="249"/>
      <c r="B129" s="373"/>
      <c r="C129" s="268"/>
      <c r="D129" s="488"/>
      <c r="E129" s="488"/>
      <c r="F129" s="488"/>
      <c r="G129" s="488"/>
      <c r="H129" s="489"/>
      <c r="I129" s="288">
        <f t="shared" si="27"/>
        <v>0</v>
      </c>
      <c r="J129" s="1405"/>
    </row>
    <row r="130" spans="1:10" x14ac:dyDescent="0.25">
      <c r="A130" s="185" t="s">
        <v>237</v>
      </c>
      <c r="B130" s="251" t="s">
        <v>238</v>
      </c>
      <c r="C130" s="191"/>
      <c r="D130" s="286">
        <f>D148+D151+D145+D135+D141+D138</f>
        <v>45352919.5</v>
      </c>
      <c r="E130" s="286">
        <f t="shared" ref="E130:G130" si="62">E148+E151+E145+E135+E141+E138</f>
        <v>45352919.5</v>
      </c>
      <c r="F130" s="286">
        <f t="shared" si="62"/>
        <v>0</v>
      </c>
      <c r="G130" s="286">
        <f t="shared" si="62"/>
        <v>0</v>
      </c>
      <c r="H130" s="288">
        <f t="shared" ref="H130:H137" si="63">IF(F130&gt;E130,1,0)</f>
        <v>0</v>
      </c>
      <c r="I130" s="288">
        <f t="shared" si="27"/>
        <v>0</v>
      </c>
    </row>
    <row r="131" spans="1:10" x14ac:dyDescent="0.25">
      <c r="A131" s="381"/>
      <c r="B131" s="382" t="s">
        <v>146</v>
      </c>
      <c r="C131" s="383"/>
      <c r="D131" s="511">
        <f>D149+D152+D146+D136+D142+D139</f>
        <v>0</v>
      </c>
      <c r="E131" s="511">
        <f t="shared" ref="E131:G131" si="64">E149+E152+E146+E136+E142+E139</f>
        <v>0</v>
      </c>
      <c r="F131" s="511">
        <f t="shared" si="64"/>
        <v>0</v>
      </c>
      <c r="G131" s="511">
        <f t="shared" si="64"/>
        <v>0</v>
      </c>
      <c r="H131" s="288">
        <f t="shared" si="63"/>
        <v>0</v>
      </c>
      <c r="I131" s="288">
        <f t="shared" si="27"/>
        <v>0</v>
      </c>
    </row>
    <row r="132" spans="1:10" x14ac:dyDescent="0.25">
      <c r="A132" s="381"/>
      <c r="B132" s="382" t="s">
        <v>147</v>
      </c>
      <c r="C132" s="383"/>
      <c r="D132" s="511">
        <f>D150+D153+D147+D137+D143+D140</f>
        <v>35762419.5</v>
      </c>
      <c r="E132" s="511">
        <f t="shared" ref="E132:G132" si="65">E150+E153+E147+E137+E143+E140</f>
        <v>35762419.5</v>
      </c>
      <c r="F132" s="511">
        <f t="shared" si="65"/>
        <v>0</v>
      </c>
      <c r="G132" s="511">
        <f t="shared" si="65"/>
        <v>0</v>
      </c>
      <c r="H132" s="288">
        <f t="shared" si="63"/>
        <v>0</v>
      </c>
      <c r="I132" s="288">
        <f t="shared" si="27"/>
        <v>0</v>
      </c>
    </row>
    <row r="133" spans="1:10" x14ac:dyDescent="0.25">
      <c r="A133" s="381"/>
      <c r="B133" s="1275" t="s">
        <v>326</v>
      </c>
      <c r="C133" s="383"/>
      <c r="D133" s="511">
        <f>D130-D131-D132</f>
        <v>9590500</v>
      </c>
      <c r="E133" s="511">
        <f t="shared" ref="E133:G133" si="66">E130-E131-E132</f>
        <v>9590500</v>
      </c>
      <c r="F133" s="511">
        <f t="shared" si="66"/>
        <v>0</v>
      </c>
      <c r="G133" s="511">
        <f t="shared" si="66"/>
        <v>0</v>
      </c>
      <c r="H133" s="288">
        <f t="shared" ref="H133" si="67">IF(F133&gt;E133,1,0)</f>
        <v>0</v>
      </c>
      <c r="I133" s="288">
        <f t="shared" ref="I133" si="68">IF(G133&lt;0,1,0)</f>
        <v>0</v>
      </c>
    </row>
    <row r="134" spans="1:10" x14ac:dyDescent="0.25">
      <c r="A134" s="193"/>
      <c r="B134" s="481" t="s">
        <v>38</v>
      </c>
      <c r="C134" s="189"/>
      <c r="D134" s="285"/>
      <c r="E134" s="187"/>
      <c r="F134" s="187"/>
      <c r="G134" s="284"/>
      <c r="H134" s="288">
        <f t="shared" si="63"/>
        <v>0</v>
      </c>
      <c r="I134" s="288">
        <f t="shared" ref="I134:I274" si="69">IF(G134&lt;0,1,0)</f>
        <v>0</v>
      </c>
    </row>
    <row r="135" spans="1:10" ht="158.4" hidden="1" x14ac:dyDescent="0.25">
      <c r="A135" s="1274"/>
      <c r="B135" s="482" t="s">
        <v>324</v>
      </c>
      <c r="C135" s="144" t="s">
        <v>322</v>
      </c>
      <c r="D135" s="283"/>
      <c r="E135" s="200">
        <f>'План и исполнение'!AN37</f>
        <v>0</v>
      </c>
      <c r="F135" s="200">
        <f>'План и исполнение'!AS37</f>
        <v>0</v>
      </c>
      <c r="G135" s="284">
        <f t="shared" ref="G135:G137" si="70">D135-E135</f>
        <v>0</v>
      </c>
      <c r="H135" s="288">
        <f t="shared" si="63"/>
        <v>0</v>
      </c>
      <c r="I135" s="288">
        <f t="shared" ref="I135:I137" si="71">IF(G135&lt;0,1,0)</f>
        <v>0</v>
      </c>
      <c r="J135" s="1404">
        <f>D135+D148</f>
        <v>3731272.22</v>
      </c>
    </row>
    <row r="136" spans="1:10" hidden="1" x14ac:dyDescent="0.25">
      <c r="A136" s="388"/>
      <c r="B136" s="389" t="s">
        <v>146</v>
      </c>
      <c r="C136" s="390"/>
      <c r="D136" s="392"/>
      <c r="E136" s="392"/>
      <c r="F136" s="392"/>
      <c r="G136" s="392">
        <f t="shared" si="70"/>
        <v>0</v>
      </c>
      <c r="H136" s="288">
        <f t="shared" si="63"/>
        <v>0</v>
      </c>
      <c r="I136" s="288">
        <f t="shared" si="71"/>
        <v>0</v>
      </c>
    </row>
    <row r="137" spans="1:10" hidden="1" x14ac:dyDescent="0.25">
      <c r="A137" s="388"/>
      <c r="B137" s="389" t="s">
        <v>147</v>
      </c>
      <c r="C137" s="390"/>
      <c r="D137" s="392">
        <f>D135-D136</f>
        <v>0</v>
      </c>
      <c r="E137" s="392">
        <f>E135-E136</f>
        <v>0</v>
      </c>
      <c r="F137" s="392">
        <f>F135-F136</f>
        <v>0</v>
      </c>
      <c r="G137" s="392">
        <f t="shared" si="70"/>
        <v>0</v>
      </c>
      <c r="H137" s="288">
        <f t="shared" si="63"/>
        <v>0</v>
      </c>
      <c r="I137" s="288">
        <f t="shared" si="71"/>
        <v>0</v>
      </c>
    </row>
    <row r="138" spans="1:10" ht="143.1" customHeight="1" x14ac:dyDescent="0.25">
      <c r="A138" s="1118"/>
      <c r="B138" s="483" t="s">
        <v>320</v>
      </c>
      <c r="C138" s="144" t="s">
        <v>319</v>
      </c>
      <c r="D138" s="283">
        <v>14000000</v>
      </c>
      <c r="E138" s="200">
        <f>'Прочая  субсидия_МР  и  ГО'!AF38</f>
        <v>14000000</v>
      </c>
      <c r="F138" s="200">
        <f>'Прочая  субсидия_МР  и  ГО'!AG38</f>
        <v>0</v>
      </c>
      <c r="G138" s="284">
        <f t="shared" ref="G138" si="72">D138-E138</f>
        <v>0</v>
      </c>
      <c r="H138" s="288">
        <f t="shared" ref="H138:H140" si="73">IF(F138&gt;E138,1,0)</f>
        <v>0</v>
      </c>
      <c r="I138" s="288">
        <f t="shared" ref="I138:I140" si="74">IF(G138&lt;0,1,0)</f>
        <v>0</v>
      </c>
    </row>
    <row r="139" spans="1:10" ht="14.1" customHeight="1" x14ac:dyDescent="0.25">
      <c r="A139" s="388"/>
      <c r="B139" s="389" t="s">
        <v>146</v>
      </c>
      <c r="C139" s="390"/>
      <c r="D139" s="460"/>
      <c r="E139" s="460"/>
      <c r="F139" s="460"/>
      <c r="G139" s="460"/>
      <c r="H139" s="288">
        <f t="shared" si="73"/>
        <v>0</v>
      </c>
      <c r="I139" s="288">
        <f t="shared" si="74"/>
        <v>0</v>
      </c>
    </row>
    <row r="140" spans="1:10" ht="14.1" customHeight="1" x14ac:dyDescent="0.25">
      <c r="A140" s="388"/>
      <c r="B140" s="389" t="s">
        <v>147</v>
      </c>
      <c r="C140" s="390"/>
      <c r="D140" s="392">
        <f>D138-D139</f>
        <v>14000000</v>
      </c>
      <c r="E140" s="392">
        <f t="shared" ref="E140" si="75">E138-E139</f>
        <v>14000000</v>
      </c>
      <c r="F140" s="392">
        <f t="shared" ref="F140" si="76">F138-F139</f>
        <v>0</v>
      </c>
      <c r="G140" s="392">
        <f t="shared" ref="G140" si="77">G138-G139</f>
        <v>0</v>
      </c>
      <c r="H140" s="288">
        <f t="shared" si="73"/>
        <v>0</v>
      </c>
      <c r="I140" s="288">
        <f t="shared" si="74"/>
        <v>0</v>
      </c>
    </row>
    <row r="141" spans="1:10" ht="171.6" x14ac:dyDescent="0.25">
      <c r="A141" s="1081"/>
      <c r="B141" s="683" t="s">
        <v>616</v>
      </c>
      <c r="C141" s="144" t="s">
        <v>323</v>
      </c>
      <c r="D141" s="684">
        <v>9590500</v>
      </c>
      <c r="E141" s="187">
        <f>'Прочая  субсидия_МР  и  ГО'!AZ38</f>
        <v>9590500</v>
      </c>
      <c r="F141" s="187">
        <f>'Прочая  субсидия_МР  и  ГО'!BA38</f>
        <v>0</v>
      </c>
      <c r="G141" s="284">
        <f>D141-E141</f>
        <v>0</v>
      </c>
      <c r="H141" s="288">
        <f t="shared" ref="H141:H143" si="78">IF(F141&gt;E141,1,0)</f>
        <v>0</v>
      </c>
      <c r="I141" s="288">
        <f t="shared" ref="I141:I147" si="79">IF(G141&lt;0,1,0)</f>
        <v>0</v>
      </c>
    </row>
    <row r="142" spans="1:10" x14ac:dyDescent="0.25">
      <c r="A142" s="388"/>
      <c r="B142" s="389" t="s">
        <v>146</v>
      </c>
      <c r="C142" s="653"/>
      <c r="D142" s="392"/>
      <c r="E142" s="392"/>
      <c r="F142" s="392"/>
      <c r="G142" s="392">
        <f>D142-E142</f>
        <v>0</v>
      </c>
      <c r="H142" s="288">
        <f t="shared" si="78"/>
        <v>0</v>
      </c>
      <c r="I142" s="288">
        <f t="shared" si="79"/>
        <v>0</v>
      </c>
    </row>
    <row r="143" spans="1:10" x14ac:dyDescent="0.25">
      <c r="A143" s="388"/>
      <c r="B143" s="389" t="s">
        <v>147</v>
      </c>
      <c r="C143" s="390"/>
      <c r="D143" s="392"/>
      <c r="E143" s="392"/>
      <c r="F143" s="392"/>
      <c r="G143" s="392">
        <f>D143-E143</f>
        <v>0</v>
      </c>
      <c r="H143" s="288">
        <f t="shared" si="78"/>
        <v>0</v>
      </c>
      <c r="I143" s="288">
        <f t="shared" si="79"/>
        <v>0</v>
      </c>
    </row>
    <row r="144" spans="1:10" x14ac:dyDescent="0.25">
      <c r="A144" s="388"/>
      <c r="B144" s="389" t="s">
        <v>326</v>
      </c>
      <c r="C144" s="390"/>
      <c r="D144" s="392">
        <f>D141</f>
        <v>9590500</v>
      </c>
      <c r="E144" s="392">
        <f t="shared" ref="E144:F144" si="80">E141</f>
        <v>9590500</v>
      </c>
      <c r="F144" s="392">
        <f t="shared" si="80"/>
        <v>0</v>
      </c>
      <c r="G144" s="392">
        <f t="shared" ref="G144" si="81">D144-E144</f>
        <v>0</v>
      </c>
      <c r="H144" s="288">
        <f t="shared" ref="H144" si="82">IF(F144&gt;E144,1,0)</f>
        <v>0</v>
      </c>
      <c r="I144" s="288">
        <f t="shared" si="79"/>
        <v>0</v>
      </c>
    </row>
    <row r="145" spans="1:10" ht="105.6" x14ac:dyDescent="0.25">
      <c r="A145" s="249"/>
      <c r="B145" s="482" t="s">
        <v>699</v>
      </c>
      <c r="C145" s="144" t="s">
        <v>698</v>
      </c>
      <c r="D145" s="283">
        <v>8436447.2799999993</v>
      </c>
      <c r="E145" s="200">
        <f>'План и исполнение'!AO38</f>
        <v>8436447.2800000012</v>
      </c>
      <c r="F145" s="200">
        <f>'План и исполнение'!AT38</f>
        <v>0</v>
      </c>
      <c r="G145" s="284">
        <f t="shared" ref="G145:G147" si="83">D145-E145</f>
        <v>0</v>
      </c>
      <c r="H145" s="288">
        <f>IF(F145&gt;E145,1,0)</f>
        <v>0</v>
      </c>
      <c r="I145" s="288">
        <f t="shared" si="79"/>
        <v>0</v>
      </c>
      <c r="J145" s="1406"/>
    </row>
    <row r="146" spans="1:10" x14ac:dyDescent="0.25">
      <c r="A146" s="388"/>
      <c r="B146" s="389" t="s">
        <v>146</v>
      </c>
      <c r="C146" s="390"/>
      <c r="D146" s="392"/>
      <c r="E146" s="392"/>
      <c r="F146" s="392"/>
      <c r="G146" s="392">
        <f t="shared" si="83"/>
        <v>0</v>
      </c>
      <c r="H146" s="288">
        <f>IF(F146&gt;E146,1,0)</f>
        <v>0</v>
      </c>
      <c r="I146" s="288">
        <f t="shared" si="79"/>
        <v>0</v>
      </c>
      <c r="J146" s="1406"/>
    </row>
    <row r="147" spans="1:10" x14ac:dyDescent="0.25">
      <c r="A147" s="388"/>
      <c r="B147" s="389" t="s">
        <v>147</v>
      </c>
      <c r="C147" s="390"/>
      <c r="D147" s="392">
        <f>D145-D146</f>
        <v>8436447.2799999993</v>
      </c>
      <c r="E147" s="392">
        <f>E145-E146</f>
        <v>8436447.2800000012</v>
      </c>
      <c r="F147" s="392">
        <f>F145-F146</f>
        <v>0</v>
      </c>
      <c r="G147" s="392">
        <f t="shared" si="83"/>
        <v>0</v>
      </c>
      <c r="H147" s="288">
        <f>IF(F147&gt;E147,1,0)</f>
        <v>0</v>
      </c>
      <c r="I147" s="288">
        <f t="shared" si="79"/>
        <v>0</v>
      </c>
      <c r="J147" s="1406"/>
    </row>
    <row r="148" spans="1:10" ht="132" x14ac:dyDescent="0.25">
      <c r="A148" s="249"/>
      <c r="B148" s="482" t="s">
        <v>697</v>
      </c>
      <c r="C148" s="144" t="s">
        <v>713</v>
      </c>
      <c r="D148" s="283">
        <v>3731272.22</v>
      </c>
      <c r="E148" s="200">
        <f>'План и исполнение'!PV38</f>
        <v>3731272.2199999997</v>
      </c>
      <c r="F148" s="200">
        <f>'План и исполнение'!PY38</f>
        <v>0</v>
      </c>
      <c r="G148" s="284">
        <f t="shared" ref="G148:G152" si="84">D148-E148</f>
        <v>0</v>
      </c>
      <c r="H148" s="288">
        <f t="shared" ref="H148:H153" si="85">IF(F148&gt;E148,1,0)</f>
        <v>0</v>
      </c>
      <c r="I148" s="288">
        <f t="shared" si="69"/>
        <v>0</v>
      </c>
      <c r="J148" s="1404">
        <f>D148+D151</f>
        <v>13325972.220000001</v>
      </c>
    </row>
    <row r="149" spans="1:10" x14ac:dyDescent="0.25">
      <c r="A149" s="388"/>
      <c r="B149" s="389" t="s">
        <v>146</v>
      </c>
      <c r="C149" s="390"/>
      <c r="D149" s="392"/>
      <c r="E149" s="392"/>
      <c r="F149" s="392"/>
      <c r="G149" s="392">
        <f t="shared" si="84"/>
        <v>0</v>
      </c>
      <c r="H149" s="288">
        <f t="shared" si="85"/>
        <v>0</v>
      </c>
      <c r="I149" s="288">
        <f t="shared" si="69"/>
        <v>0</v>
      </c>
    </row>
    <row r="150" spans="1:10" x14ac:dyDescent="0.25">
      <c r="A150" s="388"/>
      <c r="B150" s="389" t="s">
        <v>147</v>
      </c>
      <c r="C150" s="390"/>
      <c r="D150" s="392">
        <f>D148</f>
        <v>3731272.22</v>
      </c>
      <c r="E150" s="392">
        <f t="shared" ref="E150:F150" si="86">E148</f>
        <v>3731272.2199999997</v>
      </c>
      <c r="F150" s="392">
        <f t="shared" si="86"/>
        <v>0</v>
      </c>
      <c r="G150" s="392">
        <f t="shared" si="84"/>
        <v>0</v>
      </c>
      <c r="H150" s="288">
        <f t="shared" si="85"/>
        <v>0</v>
      </c>
      <c r="I150" s="288">
        <f t="shared" si="69"/>
        <v>0</v>
      </c>
    </row>
    <row r="151" spans="1:10" x14ac:dyDescent="0.25">
      <c r="A151" s="724"/>
      <c r="B151" s="725" t="s">
        <v>58</v>
      </c>
      <c r="C151" s="711" t="s">
        <v>713</v>
      </c>
      <c r="D151" s="726">
        <v>9594700</v>
      </c>
      <c r="E151" s="723">
        <f>'План и исполнение'!PW38</f>
        <v>9594700</v>
      </c>
      <c r="F151" s="723">
        <f>'План и исполнение'!PZ38</f>
        <v>0</v>
      </c>
      <c r="G151" s="727">
        <f t="shared" si="84"/>
        <v>0</v>
      </c>
      <c r="H151" s="288">
        <f t="shared" si="85"/>
        <v>0</v>
      </c>
      <c r="I151" s="288">
        <f t="shared" ref="I151:I153" si="87">IF(G151&lt;0,1,0)</f>
        <v>0</v>
      </c>
    </row>
    <row r="152" spans="1:10" x14ac:dyDescent="0.25">
      <c r="A152" s="724"/>
      <c r="B152" s="728" t="s">
        <v>146</v>
      </c>
      <c r="C152" s="729"/>
      <c r="D152" s="727"/>
      <c r="E152" s="727"/>
      <c r="F152" s="727"/>
      <c r="G152" s="727">
        <f t="shared" si="84"/>
        <v>0</v>
      </c>
      <c r="H152" s="288">
        <f t="shared" si="85"/>
        <v>0</v>
      </c>
      <c r="I152" s="288">
        <f t="shared" si="87"/>
        <v>0</v>
      </c>
    </row>
    <row r="153" spans="1:10" x14ac:dyDescent="0.25">
      <c r="A153" s="724"/>
      <c r="B153" s="728" t="s">
        <v>147</v>
      </c>
      <c r="C153" s="729"/>
      <c r="D153" s="727">
        <f>D151</f>
        <v>9594700</v>
      </c>
      <c r="E153" s="727">
        <f t="shared" ref="E153:G153" si="88">E151</f>
        <v>9594700</v>
      </c>
      <c r="F153" s="727">
        <f t="shared" si="88"/>
        <v>0</v>
      </c>
      <c r="G153" s="727">
        <f t="shared" si="88"/>
        <v>0</v>
      </c>
      <c r="H153" s="288">
        <f t="shared" si="85"/>
        <v>0</v>
      </c>
      <c r="I153" s="288">
        <f t="shared" si="87"/>
        <v>0</v>
      </c>
      <c r="J153" s="1406"/>
    </row>
    <row r="154" spans="1:10" s="846" customFormat="1" x14ac:dyDescent="0.25">
      <c r="A154" s="249"/>
      <c r="B154" s="373"/>
      <c r="C154" s="268"/>
      <c r="D154" s="488"/>
      <c r="E154" s="488"/>
      <c r="F154" s="488"/>
      <c r="G154" s="488"/>
      <c r="H154" s="489"/>
      <c r="I154" s="288">
        <f t="shared" si="69"/>
        <v>0</v>
      </c>
      <c r="J154" s="1405"/>
    </row>
    <row r="155" spans="1:10" x14ac:dyDescent="0.25">
      <c r="A155" s="185" t="s">
        <v>130</v>
      </c>
      <c r="B155" s="251" t="s">
        <v>131</v>
      </c>
      <c r="C155" s="191"/>
      <c r="D155" s="286">
        <f>D172+D164+D168+D160+D176+D179</f>
        <v>677380028.28000009</v>
      </c>
      <c r="E155" s="286">
        <f t="shared" ref="E155:G155" si="89">E172+E164+E168+E160+E176+E179</f>
        <v>677380028.28000009</v>
      </c>
      <c r="F155" s="286">
        <f t="shared" si="89"/>
        <v>282200312.85000002</v>
      </c>
      <c r="G155" s="286">
        <f t="shared" si="89"/>
        <v>0</v>
      </c>
      <c r="H155" s="288">
        <f t="shared" ref="H155:H159" si="90">IF(F155&gt;E155,1,0)</f>
        <v>0</v>
      </c>
      <c r="I155" s="288">
        <f t="shared" si="69"/>
        <v>0</v>
      </c>
    </row>
    <row r="156" spans="1:10" x14ac:dyDescent="0.25">
      <c r="A156" s="381"/>
      <c r="B156" s="382" t="s">
        <v>146</v>
      </c>
      <c r="C156" s="383"/>
      <c r="D156" s="511">
        <f>D173+D165+D169+D161+D177+D180</f>
        <v>116104444.44</v>
      </c>
      <c r="E156" s="511">
        <f t="shared" ref="E156:G156" si="91">E173+E165+E169+E161+E177+E180</f>
        <v>116104444.44</v>
      </c>
      <c r="F156" s="511">
        <f t="shared" si="91"/>
        <v>7270928.0099999988</v>
      </c>
      <c r="G156" s="511">
        <f t="shared" si="91"/>
        <v>0</v>
      </c>
      <c r="H156" s="288">
        <f t="shared" si="90"/>
        <v>0</v>
      </c>
      <c r="I156" s="288">
        <f t="shared" si="69"/>
        <v>0</v>
      </c>
    </row>
    <row r="157" spans="1:10" x14ac:dyDescent="0.25">
      <c r="A157" s="381"/>
      <c r="B157" s="382" t="s">
        <v>147</v>
      </c>
      <c r="C157" s="383"/>
      <c r="D157" s="511">
        <f>D174+D166+D170+D162+D178+D181</f>
        <v>0</v>
      </c>
      <c r="E157" s="511">
        <f t="shared" ref="E157:G157" si="92">E174+E166+E170+E162+E178+E181</f>
        <v>0</v>
      </c>
      <c r="F157" s="511">
        <f t="shared" si="92"/>
        <v>0</v>
      </c>
      <c r="G157" s="511">
        <f t="shared" si="92"/>
        <v>0</v>
      </c>
      <c r="H157" s="288">
        <f t="shared" si="90"/>
        <v>0</v>
      </c>
      <c r="I157" s="288">
        <f t="shared" si="69"/>
        <v>0</v>
      </c>
    </row>
    <row r="158" spans="1:10" x14ac:dyDescent="0.25">
      <c r="A158" s="381"/>
      <c r="B158" s="1275" t="s">
        <v>326</v>
      </c>
      <c r="C158" s="383"/>
      <c r="D158" s="511">
        <f>D155-D156-D157</f>
        <v>561275583.84000015</v>
      </c>
      <c r="E158" s="511">
        <f t="shared" ref="E158:G158" si="93">E155-E156-E157</f>
        <v>561275583.84000015</v>
      </c>
      <c r="F158" s="511">
        <f t="shared" si="93"/>
        <v>274929384.84000003</v>
      </c>
      <c r="G158" s="511">
        <f t="shared" si="93"/>
        <v>0</v>
      </c>
      <c r="H158" s="288">
        <f t="shared" ref="H158" si="94">IF(F158&gt;E158,1,0)</f>
        <v>0</v>
      </c>
      <c r="I158" s="288">
        <f t="shared" ref="I158" si="95">IF(G158&lt;0,1,0)</f>
        <v>0</v>
      </c>
    </row>
    <row r="159" spans="1:10" x14ac:dyDescent="0.25">
      <c r="A159" s="193"/>
      <c r="B159" s="481" t="s">
        <v>38</v>
      </c>
      <c r="C159" s="189"/>
      <c r="D159" s="285"/>
      <c r="E159" s="187"/>
      <c r="F159" s="187"/>
      <c r="G159" s="284"/>
      <c r="H159" s="288">
        <f t="shared" si="90"/>
        <v>0</v>
      </c>
      <c r="I159" s="288">
        <f t="shared" si="69"/>
        <v>0</v>
      </c>
    </row>
    <row r="160" spans="1:10" ht="158.4" x14ac:dyDescent="0.25">
      <c r="A160" s="1103"/>
      <c r="B160" s="482" t="s">
        <v>711</v>
      </c>
      <c r="C160" s="144" t="s">
        <v>414</v>
      </c>
      <c r="D160" s="202">
        <v>70000000</v>
      </c>
      <c r="E160" s="187">
        <f>'Прочая  субсидия_МР  и  ГО'!BD38</f>
        <v>70000000</v>
      </c>
      <c r="F160" s="187">
        <f>'Прочая  субсидия_МР  и  ГО'!BE38</f>
        <v>64915877.189999998</v>
      </c>
      <c r="G160" s="284">
        <f t="shared" ref="G160:G162" si="96">D160-E160</f>
        <v>0</v>
      </c>
      <c r="H160" s="288">
        <f>IF(F160&gt;E160,1,0)</f>
        <v>0</v>
      </c>
      <c r="I160" s="288">
        <f>IF(G160&lt;0,1,0)</f>
        <v>0</v>
      </c>
    </row>
    <row r="161" spans="1:10" x14ac:dyDescent="0.25">
      <c r="A161" s="388"/>
      <c r="B161" s="389" t="s">
        <v>146</v>
      </c>
      <c r="C161" s="390"/>
      <c r="D161" s="392"/>
      <c r="E161" s="392"/>
      <c r="F161" s="392"/>
      <c r="G161" s="392">
        <f t="shared" si="96"/>
        <v>0</v>
      </c>
      <c r="H161" s="288">
        <f>IF(F161&gt;E161,1,0)</f>
        <v>0</v>
      </c>
      <c r="I161" s="288">
        <f>IF(G161&lt;0,1,0)</f>
        <v>0</v>
      </c>
    </row>
    <row r="162" spans="1:10" x14ac:dyDescent="0.25">
      <c r="A162" s="388"/>
      <c r="B162" s="389" t="s">
        <v>147</v>
      </c>
      <c r="C162" s="652"/>
      <c r="D162" s="391"/>
      <c r="E162" s="391"/>
      <c r="F162" s="391"/>
      <c r="G162" s="392">
        <f t="shared" si="96"/>
        <v>0</v>
      </c>
      <c r="H162" s="288">
        <f>IF(F162&gt;E162,1,0)</f>
        <v>0</v>
      </c>
      <c r="I162" s="288">
        <f>IF(G162&lt;0,1,0)</f>
        <v>0</v>
      </c>
    </row>
    <row r="163" spans="1:10" x14ac:dyDescent="0.25">
      <c r="A163" s="388"/>
      <c r="B163" s="389" t="s">
        <v>326</v>
      </c>
      <c r="C163" s="652"/>
      <c r="D163" s="460">
        <f>D160</f>
        <v>70000000</v>
      </c>
      <c r="E163" s="460">
        <f t="shared" ref="E163:F163" si="97">E160</f>
        <v>70000000</v>
      </c>
      <c r="F163" s="460">
        <f t="shared" si="97"/>
        <v>64915877.189999998</v>
      </c>
      <c r="G163" s="392">
        <f t="shared" ref="G163" si="98">D163-E163</f>
        <v>0</v>
      </c>
      <c r="H163" s="288">
        <f t="shared" ref="H163" si="99">IF(F163&gt;E163,1,0)</f>
        <v>0</v>
      </c>
      <c r="I163" s="288">
        <f t="shared" ref="I163" si="100">IF(G163&lt;0,1,0)</f>
        <v>0</v>
      </c>
    </row>
    <row r="164" spans="1:10" ht="118.8" x14ac:dyDescent="0.25">
      <c r="A164" s="193"/>
      <c r="B164" s="683" t="s">
        <v>610</v>
      </c>
      <c r="C164" s="144" t="s">
        <v>609</v>
      </c>
      <c r="D164" s="684">
        <f>16828240-3.16</f>
        <v>16828236.84</v>
      </c>
      <c r="E164" s="187">
        <f>'План и исполнение'!MN38</f>
        <v>16828236.84</v>
      </c>
      <c r="F164" s="187">
        <f>'План и исполнение'!MR38</f>
        <v>3070201.17</v>
      </c>
      <c r="G164" s="284">
        <f t="shared" ref="G164:G168" si="101">D164-E164</f>
        <v>0</v>
      </c>
      <c r="H164" s="288">
        <f t="shared" ref="H164:H166" si="102">IF(F164&gt;E164,1,0)</f>
        <v>0</v>
      </c>
      <c r="I164" s="288">
        <f t="shared" si="69"/>
        <v>0</v>
      </c>
      <c r="J164" s="1404">
        <f>D164+D168</f>
        <v>336564736.83999997</v>
      </c>
    </row>
    <row r="165" spans="1:10" x14ac:dyDescent="0.25">
      <c r="A165" s="388"/>
      <c r="B165" s="389" t="s">
        <v>146</v>
      </c>
      <c r="C165" s="653"/>
      <c r="D165" s="392"/>
      <c r="E165" s="392"/>
      <c r="F165" s="392"/>
      <c r="G165" s="392">
        <f t="shared" si="101"/>
        <v>0</v>
      </c>
      <c r="H165" s="288">
        <f t="shared" si="102"/>
        <v>0</v>
      </c>
      <c r="I165" s="288">
        <f t="shared" si="69"/>
        <v>0</v>
      </c>
    </row>
    <row r="166" spans="1:10" x14ac:dyDescent="0.25">
      <c r="A166" s="388"/>
      <c r="B166" s="389" t="s">
        <v>147</v>
      </c>
      <c r="C166" s="390"/>
      <c r="D166" s="392"/>
      <c r="E166" s="392"/>
      <c r="F166" s="392"/>
      <c r="G166" s="392">
        <f t="shared" si="101"/>
        <v>0</v>
      </c>
      <c r="H166" s="288">
        <f t="shared" si="102"/>
        <v>0</v>
      </c>
      <c r="I166" s="288">
        <f t="shared" si="69"/>
        <v>0</v>
      </c>
    </row>
    <row r="167" spans="1:10" x14ac:dyDescent="0.25">
      <c r="A167" s="388"/>
      <c r="B167" s="500" t="s">
        <v>326</v>
      </c>
      <c r="C167" s="390"/>
      <c r="D167" s="392">
        <f>D164</f>
        <v>16828236.84</v>
      </c>
      <c r="E167" s="392">
        <f t="shared" ref="E167:F167" si="103">E164</f>
        <v>16828236.84</v>
      </c>
      <c r="F167" s="392">
        <f t="shared" si="103"/>
        <v>3070201.17</v>
      </c>
      <c r="G167" s="392">
        <f t="shared" ref="G167" si="104">D167-E167</f>
        <v>0</v>
      </c>
      <c r="H167" s="288">
        <f t="shared" ref="H167" si="105">IF(F167&gt;E167,1,0)</f>
        <v>0</v>
      </c>
      <c r="I167" s="288">
        <f t="shared" ref="I167" si="106">IF(G167&lt;0,1,0)</f>
        <v>0</v>
      </c>
    </row>
    <row r="168" spans="1:10" x14ac:dyDescent="0.25">
      <c r="A168" s="724"/>
      <c r="B168" s="725" t="s">
        <v>58</v>
      </c>
      <c r="C168" s="711" t="s">
        <v>609</v>
      </c>
      <c r="D168" s="726">
        <v>319736500</v>
      </c>
      <c r="E168" s="723">
        <f>'План и исполнение'!MO38</f>
        <v>319736500</v>
      </c>
      <c r="F168" s="723">
        <f>'План и исполнение'!MS38</f>
        <v>58333822.579999998</v>
      </c>
      <c r="G168" s="727">
        <f t="shared" si="101"/>
        <v>0</v>
      </c>
      <c r="H168" s="288">
        <f>IF(F168&gt;E168,1,0)</f>
        <v>0</v>
      </c>
      <c r="I168" s="288">
        <f>IF(G168&lt;0,1,0)</f>
        <v>0</v>
      </c>
    </row>
    <row r="169" spans="1:10" x14ac:dyDescent="0.25">
      <c r="A169" s="724"/>
      <c r="B169" s="728" t="s">
        <v>146</v>
      </c>
      <c r="C169" s="729"/>
      <c r="D169" s="727"/>
      <c r="E169" s="727"/>
      <c r="F169" s="727"/>
      <c r="G169" s="727">
        <f>D169-E169</f>
        <v>0</v>
      </c>
      <c r="H169" s="288">
        <f>IF(F169&gt;E169,1,0)</f>
        <v>0</v>
      </c>
      <c r="I169" s="288">
        <f>IF(G169&lt;0,1,0)</f>
        <v>0</v>
      </c>
    </row>
    <row r="170" spans="1:10" x14ac:dyDescent="0.25">
      <c r="A170" s="724"/>
      <c r="B170" s="728" t="s">
        <v>147</v>
      </c>
      <c r="C170" s="729"/>
      <c r="D170" s="727"/>
      <c r="E170" s="727"/>
      <c r="F170" s="727"/>
      <c r="G170" s="727">
        <f>D170-E170</f>
        <v>0</v>
      </c>
      <c r="H170" s="288">
        <f>IF(F170&gt;E170,1,0)</f>
        <v>0</v>
      </c>
      <c r="I170" s="288">
        <f>IF(G170&lt;0,1,0)</f>
        <v>0</v>
      </c>
    </row>
    <row r="171" spans="1:10" x14ac:dyDescent="0.25">
      <c r="A171" s="724"/>
      <c r="B171" s="728" t="s">
        <v>326</v>
      </c>
      <c r="C171" s="729"/>
      <c r="D171" s="727">
        <f>D168</f>
        <v>319736500</v>
      </c>
      <c r="E171" s="727">
        <f t="shared" ref="E171:F171" si="107">E168</f>
        <v>319736500</v>
      </c>
      <c r="F171" s="727">
        <f t="shared" si="107"/>
        <v>58333822.579999998</v>
      </c>
      <c r="G171" s="727">
        <f>D171-E171</f>
        <v>0</v>
      </c>
      <c r="H171" s="288">
        <f>IF(F171&gt;E171,1,0)</f>
        <v>0</v>
      </c>
      <c r="I171" s="288">
        <f>IF(G171&lt;0,1,0)</f>
        <v>0</v>
      </c>
    </row>
    <row r="172" spans="1:10" ht="198" x14ac:dyDescent="0.25">
      <c r="A172" s="193"/>
      <c r="B172" s="482" t="s">
        <v>709</v>
      </c>
      <c r="C172" s="144" t="s">
        <v>708</v>
      </c>
      <c r="D172" s="202">
        <f>147553093+7157754</f>
        <v>154710847</v>
      </c>
      <c r="E172" s="187">
        <f>'План и исполнение'!MP38</f>
        <v>154710847</v>
      </c>
      <c r="F172" s="187">
        <f>'План и исполнение'!MT38</f>
        <v>148609483.90000001</v>
      </c>
      <c r="G172" s="284">
        <f t="shared" ref="G172:G174" si="108">D172-E172</f>
        <v>0</v>
      </c>
      <c r="H172" s="288">
        <f t="shared" ref="H172:H174" si="109">IF(F172&gt;E172,1,0)</f>
        <v>0</v>
      </c>
      <c r="I172" s="288">
        <f t="shared" ref="I172:I174" si="110">IF(G172&lt;0,1,0)</f>
        <v>0</v>
      </c>
    </row>
    <row r="173" spans="1:10" x14ac:dyDescent="0.25">
      <c r="A173" s="388"/>
      <c r="B173" s="389" t="s">
        <v>146</v>
      </c>
      <c r="C173" s="390"/>
      <c r="D173" s="392"/>
      <c r="E173" s="392"/>
      <c r="F173" s="392"/>
      <c r="G173" s="392">
        <f t="shared" si="108"/>
        <v>0</v>
      </c>
      <c r="H173" s="288">
        <f t="shared" si="109"/>
        <v>0</v>
      </c>
      <c r="I173" s="288">
        <f t="shared" si="110"/>
        <v>0</v>
      </c>
    </row>
    <row r="174" spans="1:10" x14ac:dyDescent="0.25">
      <c r="A174" s="388"/>
      <c r="B174" s="389" t="s">
        <v>147</v>
      </c>
      <c r="C174" s="652"/>
      <c r="D174" s="391"/>
      <c r="E174" s="391"/>
      <c r="F174" s="391"/>
      <c r="G174" s="392">
        <f t="shared" si="108"/>
        <v>0</v>
      </c>
      <c r="H174" s="288">
        <f t="shared" si="109"/>
        <v>0</v>
      </c>
      <c r="I174" s="288">
        <f t="shared" si="110"/>
        <v>0</v>
      </c>
    </row>
    <row r="175" spans="1:10" x14ac:dyDescent="0.25">
      <c r="A175" s="388"/>
      <c r="B175" s="389" t="s">
        <v>326</v>
      </c>
      <c r="C175" s="652"/>
      <c r="D175" s="460">
        <f>D172</f>
        <v>154710847</v>
      </c>
      <c r="E175" s="460">
        <f t="shared" ref="E175:F175" si="111">E172</f>
        <v>154710847</v>
      </c>
      <c r="F175" s="460">
        <f t="shared" si="111"/>
        <v>148609483.90000001</v>
      </c>
      <c r="G175" s="392">
        <f t="shared" ref="G175" si="112">D175-E175</f>
        <v>0</v>
      </c>
      <c r="H175" s="288">
        <f t="shared" ref="H175" si="113">IF(F175&gt;E175,1,0)</f>
        <v>0</v>
      </c>
      <c r="I175" s="288">
        <f t="shared" ref="I175" si="114">IF(G175&lt;0,1,0)</f>
        <v>0</v>
      </c>
    </row>
    <row r="176" spans="1:10" ht="118.8" x14ac:dyDescent="0.25">
      <c r="A176" s="249"/>
      <c r="B176" s="482" t="s">
        <v>623</v>
      </c>
      <c r="C176" s="250" t="s">
        <v>622</v>
      </c>
      <c r="D176" s="202">
        <v>32509244.440000001</v>
      </c>
      <c r="E176" s="200">
        <f>'План и исполнение'!OB37</f>
        <v>32509244.440000001</v>
      </c>
      <c r="F176" s="200">
        <f>'План и исполнение'!OI37</f>
        <v>2035859.8499999999</v>
      </c>
      <c r="G176" s="284">
        <f t="shared" ref="G176" si="115">D176-E176</f>
        <v>0</v>
      </c>
      <c r="H176" s="288">
        <f t="shared" ref="H176:H181" si="116">IF(F176&gt;E176,1,0)</f>
        <v>0</v>
      </c>
      <c r="I176" s="288">
        <f t="shared" ref="I176:I178" si="117">IF(G176&lt;0,1,0)</f>
        <v>0</v>
      </c>
      <c r="J176" s="1404">
        <f>D176+D179</f>
        <v>116104444.44</v>
      </c>
    </row>
    <row r="177" spans="1:10" x14ac:dyDescent="0.25">
      <c r="A177" s="388"/>
      <c r="B177" s="389" t="s">
        <v>146</v>
      </c>
      <c r="C177" s="390"/>
      <c r="D177" s="460">
        <f>D176</f>
        <v>32509244.440000001</v>
      </c>
      <c r="E177" s="460">
        <f>E176</f>
        <v>32509244.440000001</v>
      </c>
      <c r="F177" s="460">
        <f>F176</f>
        <v>2035859.8499999999</v>
      </c>
      <c r="G177" s="460">
        <f>G176</f>
        <v>0</v>
      </c>
      <c r="H177" s="288">
        <f t="shared" si="116"/>
        <v>0</v>
      </c>
      <c r="I177" s="288">
        <f t="shared" si="117"/>
        <v>0</v>
      </c>
    </row>
    <row r="178" spans="1:10" x14ac:dyDescent="0.25">
      <c r="A178" s="388"/>
      <c r="B178" s="389" t="s">
        <v>147</v>
      </c>
      <c r="C178" s="390"/>
      <c r="D178" s="392"/>
      <c r="E178" s="392"/>
      <c r="F178" s="392"/>
      <c r="G178" s="392"/>
      <c r="H178" s="288">
        <f t="shared" si="116"/>
        <v>0</v>
      </c>
      <c r="I178" s="288">
        <f t="shared" si="117"/>
        <v>0</v>
      </c>
    </row>
    <row r="179" spans="1:10" x14ac:dyDescent="0.25">
      <c r="A179" s="724"/>
      <c r="B179" s="725" t="s">
        <v>58</v>
      </c>
      <c r="C179" s="744" t="s">
        <v>622</v>
      </c>
      <c r="D179" s="726">
        <v>83595200</v>
      </c>
      <c r="E179" s="723">
        <f>'План и исполнение'!OC37</f>
        <v>83595200</v>
      </c>
      <c r="F179" s="723">
        <f>'План и исполнение'!OJ37</f>
        <v>5235068.1599999992</v>
      </c>
      <c r="G179" s="727">
        <f t="shared" ref="G179" si="118">D179-E179</f>
        <v>0</v>
      </c>
      <c r="H179" s="288">
        <f t="shared" si="116"/>
        <v>0</v>
      </c>
      <c r="I179" s="288">
        <f>IF(G179&lt;0,1,0)</f>
        <v>0</v>
      </c>
    </row>
    <row r="180" spans="1:10" x14ac:dyDescent="0.25">
      <c r="A180" s="724"/>
      <c r="B180" s="728" t="s">
        <v>146</v>
      </c>
      <c r="C180" s="729"/>
      <c r="D180" s="723">
        <f>D179</f>
        <v>83595200</v>
      </c>
      <c r="E180" s="723">
        <f>E179</f>
        <v>83595200</v>
      </c>
      <c r="F180" s="723">
        <f>F179</f>
        <v>5235068.1599999992</v>
      </c>
      <c r="G180" s="723">
        <f>G179</f>
        <v>0</v>
      </c>
      <c r="H180" s="288">
        <f t="shared" si="116"/>
        <v>0</v>
      </c>
      <c r="I180" s="288">
        <f>IF(G180&lt;0,1,0)</f>
        <v>0</v>
      </c>
    </row>
    <row r="181" spans="1:10" x14ac:dyDescent="0.25">
      <c r="A181" s="724"/>
      <c r="B181" s="728" t="s">
        <v>147</v>
      </c>
      <c r="C181" s="729"/>
      <c r="D181" s="727"/>
      <c r="E181" s="727"/>
      <c r="F181" s="727"/>
      <c r="G181" s="727"/>
      <c r="H181" s="288">
        <f t="shared" si="116"/>
        <v>0</v>
      </c>
      <c r="I181" s="288">
        <f>IF(G181&lt;0,1,0)</f>
        <v>0</v>
      </c>
    </row>
    <row r="182" spans="1:10" x14ac:dyDescent="0.25">
      <c r="A182" s="193"/>
      <c r="B182" s="484"/>
      <c r="C182" s="189"/>
      <c r="D182" s="285"/>
      <c r="E182" s="187"/>
      <c r="F182" s="187"/>
      <c r="G182" s="284"/>
      <c r="H182" s="288"/>
      <c r="I182" s="288"/>
    </row>
    <row r="183" spans="1:10" ht="26.4" x14ac:dyDescent="0.25">
      <c r="A183" s="185" t="s">
        <v>338</v>
      </c>
      <c r="B183" s="251" t="s">
        <v>339</v>
      </c>
      <c r="C183" s="191"/>
      <c r="D183" s="286">
        <f>D188+D192+D196</f>
        <v>54927900</v>
      </c>
      <c r="E183" s="286">
        <f t="shared" ref="E183:G183" si="119">E188+E192+E196</f>
        <v>54927900</v>
      </c>
      <c r="F183" s="286">
        <f t="shared" si="119"/>
        <v>0</v>
      </c>
      <c r="G183" s="286">
        <f t="shared" si="119"/>
        <v>0</v>
      </c>
      <c r="H183" s="288">
        <f t="shared" ref="H183:H197" si="120">IF(F183&gt;E183,1,0)</f>
        <v>0</v>
      </c>
      <c r="I183" s="288">
        <f t="shared" si="69"/>
        <v>0</v>
      </c>
    </row>
    <row r="184" spans="1:10" x14ac:dyDescent="0.25">
      <c r="A184" s="381"/>
      <c r="B184" s="382" t="s">
        <v>146</v>
      </c>
      <c r="C184" s="383"/>
      <c r="D184" s="511">
        <f>D189+D193+D197</f>
        <v>0</v>
      </c>
      <c r="E184" s="511">
        <f t="shared" ref="E184:G184" si="121">E189+E193+E197</f>
        <v>0</v>
      </c>
      <c r="F184" s="511">
        <f t="shared" si="121"/>
        <v>0</v>
      </c>
      <c r="G184" s="511">
        <f t="shared" si="121"/>
        <v>0</v>
      </c>
      <c r="H184" s="288">
        <f t="shared" si="120"/>
        <v>0</v>
      </c>
      <c r="I184" s="288">
        <f t="shared" si="69"/>
        <v>0</v>
      </c>
    </row>
    <row r="185" spans="1:10" x14ac:dyDescent="0.25">
      <c r="A185" s="381"/>
      <c r="B185" s="382" t="s">
        <v>147</v>
      </c>
      <c r="C185" s="383"/>
      <c r="D185" s="511">
        <f>D190+D194+D198</f>
        <v>0</v>
      </c>
      <c r="E185" s="511">
        <f>E190+E194+E198</f>
        <v>0</v>
      </c>
      <c r="F185" s="511">
        <f>F190+F194+F198</f>
        <v>0</v>
      </c>
      <c r="G185" s="511">
        <f>G190+G194+G198</f>
        <v>0</v>
      </c>
      <c r="H185" s="288">
        <f t="shared" si="120"/>
        <v>0</v>
      </c>
      <c r="I185" s="288">
        <f t="shared" si="69"/>
        <v>0</v>
      </c>
    </row>
    <row r="186" spans="1:10" x14ac:dyDescent="0.25">
      <c r="A186" s="381"/>
      <c r="B186" s="382" t="s">
        <v>326</v>
      </c>
      <c r="C186" s="383"/>
      <c r="D186" s="511">
        <f>D183-D184-D185</f>
        <v>54927900</v>
      </c>
      <c r="E186" s="511">
        <f t="shared" ref="E186:G186" si="122">E183-E184-E185</f>
        <v>54927900</v>
      </c>
      <c r="F186" s="511">
        <f t="shared" si="122"/>
        <v>0</v>
      </c>
      <c r="G186" s="511">
        <f t="shared" si="122"/>
        <v>0</v>
      </c>
      <c r="H186" s="288">
        <f t="shared" ref="H186" si="123">IF(F186&gt;E186,1,0)</f>
        <v>0</v>
      </c>
      <c r="I186" s="288">
        <f t="shared" ref="I186" si="124">IF(G186&lt;0,1,0)</f>
        <v>0</v>
      </c>
    </row>
    <row r="187" spans="1:10" x14ac:dyDescent="0.25">
      <c r="A187" s="193"/>
      <c r="B187" s="481" t="s">
        <v>38</v>
      </c>
      <c r="C187" s="189"/>
      <c r="D187" s="285"/>
      <c r="E187" s="187"/>
      <c r="F187" s="187"/>
      <c r="G187" s="284"/>
      <c r="H187" s="288">
        <f t="shared" si="120"/>
        <v>0</v>
      </c>
      <c r="I187" s="288">
        <f t="shared" si="69"/>
        <v>0</v>
      </c>
    </row>
    <row r="188" spans="1:10" ht="237.6" x14ac:dyDescent="0.25">
      <c r="A188" s="193"/>
      <c r="B188" s="482" t="s">
        <v>615</v>
      </c>
      <c r="C188" s="144" t="s">
        <v>218</v>
      </c>
      <c r="D188" s="202">
        <f>33581800-1000000</f>
        <v>32581800</v>
      </c>
      <c r="E188" s="200">
        <f>'Прочая  субсидия_МР  и  ГО'!AX38</f>
        <v>32581800</v>
      </c>
      <c r="F188" s="200">
        <f>'Прочая  субсидия_МР  и  ГО'!AY38</f>
        <v>0</v>
      </c>
      <c r="G188" s="284">
        <f t="shared" ref="G188:G192" si="125">D188-E188</f>
        <v>0</v>
      </c>
      <c r="H188" s="288">
        <f t="shared" si="120"/>
        <v>0</v>
      </c>
      <c r="I188" s="288">
        <f t="shared" si="69"/>
        <v>0</v>
      </c>
    </row>
    <row r="189" spans="1:10" x14ac:dyDescent="0.25">
      <c r="A189" s="388"/>
      <c r="B189" s="389" t="s">
        <v>146</v>
      </c>
      <c r="C189" s="390"/>
      <c r="D189" s="392"/>
      <c r="E189" s="392"/>
      <c r="F189" s="392"/>
      <c r="G189" s="392">
        <f t="shared" si="125"/>
        <v>0</v>
      </c>
      <c r="H189" s="288">
        <f t="shared" si="120"/>
        <v>0</v>
      </c>
      <c r="I189" s="288">
        <f t="shared" si="69"/>
        <v>0</v>
      </c>
    </row>
    <row r="190" spans="1:10" x14ac:dyDescent="0.25">
      <c r="A190" s="388"/>
      <c r="B190" s="389" t="s">
        <v>147</v>
      </c>
      <c r="C190" s="390"/>
      <c r="D190" s="392"/>
      <c r="E190" s="392"/>
      <c r="F190" s="392"/>
      <c r="G190" s="392">
        <f t="shared" si="125"/>
        <v>0</v>
      </c>
      <c r="H190" s="288">
        <f t="shared" si="120"/>
        <v>0</v>
      </c>
      <c r="I190" s="288">
        <f t="shared" si="69"/>
        <v>0</v>
      </c>
    </row>
    <row r="191" spans="1:10" x14ac:dyDescent="0.25">
      <c r="A191" s="388"/>
      <c r="B191" s="389" t="s">
        <v>326</v>
      </c>
      <c r="C191" s="390"/>
      <c r="D191" s="392">
        <f>D188</f>
        <v>32581800</v>
      </c>
      <c r="E191" s="392">
        <f t="shared" ref="E191:G191" si="126">E188</f>
        <v>32581800</v>
      </c>
      <c r="F191" s="392">
        <f t="shared" si="126"/>
        <v>0</v>
      </c>
      <c r="G191" s="392">
        <f t="shared" si="126"/>
        <v>0</v>
      </c>
      <c r="H191" s="288">
        <f t="shared" ref="H191" si="127">IF(F191&gt;E191,1,0)</f>
        <v>0</v>
      </c>
      <c r="I191" s="288">
        <f t="shared" ref="I191" si="128">IF(G191&lt;0,1,0)</f>
        <v>0</v>
      </c>
    </row>
    <row r="192" spans="1:10" ht="224.4" x14ac:dyDescent="0.25">
      <c r="A192" s="1144"/>
      <c r="B192" s="480" t="s">
        <v>467</v>
      </c>
      <c r="C192" s="144" t="s">
        <v>466</v>
      </c>
      <c r="D192" s="950">
        <f>21716100+630000</f>
        <v>22346100</v>
      </c>
      <c r="E192" s="454">
        <f>'План и исполнение'!FL38</f>
        <v>22346100</v>
      </c>
      <c r="F192" s="454">
        <f>'План и исполнение'!FO38</f>
        <v>0</v>
      </c>
      <c r="G192" s="284">
        <f t="shared" si="125"/>
        <v>0</v>
      </c>
      <c r="H192" s="288">
        <f t="shared" si="120"/>
        <v>0</v>
      </c>
      <c r="I192" s="288">
        <f t="shared" si="69"/>
        <v>0</v>
      </c>
      <c r="J192" s="1404">
        <f>D192+D196</f>
        <v>22346100</v>
      </c>
    </row>
    <row r="193" spans="1:9" x14ac:dyDescent="0.25">
      <c r="A193" s="388"/>
      <c r="B193" s="389" t="s">
        <v>146</v>
      </c>
      <c r="C193" s="390"/>
      <c r="D193" s="392"/>
      <c r="E193" s="392"/>
      <c r="F193" s="392"/>
      <c r="G193" s="392"/>
      <c r="H193" s="288">
        <f t="shared" si="120"/>
        <v>0</v>
      </c>
      <c r="I193" s="288">
        <f t="shared" si="69"/>
        <v>0</v>
      </c>
    </row>
    <row r="194" spans="1:9" x14ac:dyDescent="0.25">
      <c r="A194" s="388"/>
      <c r="B194" s="389" t="s">
        <v>147</v>
      </c>
      <c r="C194" s="390"/>
      <c r="D194" s="392"/>
      <c r="E194" s="392"/>
      <c r="F194" s="392"/>
      <c r="G194" s="392"/>
      <c r="H194" s="288">
        <f t="shared" si="120"/>
        <v>0</v>
      </c>
      <c r="I194" s="288">
        <f t="shared" si="69"/>
        <v>0</v>
      </c>
    </row>
    <row r="195" spans="1:9" x14ac:dyDescent="0.25">
      <c r="A195" s="388"/>
      <c r="B195" s="500" t="s">
        <v>326</v>
      </c>
      <c r="C195" s="390"/>
      <c r="D195" s="392">
        <f>D192</f>
        <v>22346100</v>
      </c>
      <c r="E195" s="392">
        <f t="shared" ref="E195:G195" si="129">E192</f>
        <v>22346100</v>
      </c>
      <c r="F195" s="392">
        <f t="shared" si="129"/>
        <v>0</v>
      </c>
      <c r="G195" s="392">
        <f t="shared" si="129"/>
        <v>0</v>
      </c>
      <c r="H195" s="288">
        <f t="shared" ref="H195" si="130">IF(F195&gt;E195,1,0)</f>
        <v>0</v>
      </c>
      <c r="I195" s="288">
        <f t="shared" ref="I195" si="131">IF(G195&lt;0,1,0)</f>
        <v>0</v>
      </c>
    </row>
    <row r="196" spans="1:9" x14ac:dyDescent="0.25">
      <c r="A196" s="724"/>
      <c r="B196" s="725" t="s">
        <v>58</v>
      </c>
      <c r="C196" s="711" t="s">
        <v>466</v>
      </c>
      <c r="D196" s="726">
        <v>0</v>
      </c>
      <c r="E196" s="1023">
        <f>'План и исполнение'!FM38</f>
        <v>0</v>
      </c>
      <c r="F196" s="1023">
        <f>'План и исполнение'!FP38</f>
        <v>0</v>
      </c>
      <c r="G196" s="727">
        <f>D196-E196</f>
        <v>0</v>
      </c>
      <c r="H196" s="288">
        <f t="shared" si="120"/>
        <v>0</v>
      </c>
      <c r="I196" s="288">
        <f t="shared" si="69"/>
        <v>0</v>
      </c>
    </row>
    <row r="197" spans="1:9" x14ac:dyDescent="0.25">
      <c r="A197" s="724"/>
      <c r="B197" s="728" t="s">
        <v>146</v>
      </c>
      <c r="C197" s="729"/>
      <c r="D197" s="727"/>
      <c r="E197" s="727"/>
      <c r="F197" s="727"/>
      <c r="G197" s="727"/>
      <c r="H197" s="288">
        <f t="shared" si="120"/>
        <v>0</v>
      </c>
      <c r="I197" s="288">
        <f t="shared" si="69"/>
        <v>0</v>
      </c>
    </row>
    <row r="198" spans="1:9" x14ac:dyDescent="0.25">
      <c r="A198" s="724"/>
      <c r="B198" s="728" t="s">
        <v>147</v>
      </c>
      <c r="C198" s="729"/>
      <c r="D198" s="727"/>
      <c r="E198" s="727"/>
      <c r="F198" s="727"/>
      <c r="G198" s="727">
        <f>G196-G197</f>
        <v>0</v>
      </c>
      <c r="H198" s="288">
        <f>IF(F198&gt;E198,1,0)</f>
        <v>0</v>
      </c>
      <c r="I198" s="288">
        <f>IF(G198&lt;0,1,0)</f>
        <v>0</v>
      </c>
    </row>
    <row r="199" spans="1:9" x14ac:dyDescent="0.25">
      <c r="A199" s="724"/>
      <c r="B199" s="728" t="s">
        <v>326</v>
      </c>
      <c r="C199" s="729"/>
      <c r="D199" s="727">
        <f>D196</f>
        <v>0</v>
      </c>
      <c r="E199" s="727">
        <f t="shared" ref="E199:F199" si="132">E196</f>
        <v>0</v>
      </c>
      <c r="F199" s="727">
        <f t="shared" si="132"/>
        <v>0</v>
      </c>
      <c r="G199" s="727">
        <f>G197-G198</f>
        <v>0</v>
      </c>
      <c r="H199" s="288">
        <f>IF(F199&gt;E199,1,0)</f>
        <v>0</v>
      </c>
      <c r="I199" s="288">
        <f>IF(G199&lt;0,1,0)</f>
        <v>0</v>
      </c>
    </row>
    <row r="200" spans="1:9" x14ac:dyDescent="0.25">
      <c r="A200" s="1144"/>
      <c r="B200" s="484"/>
      <c r="C200" s="189"/>
      <c r="D200" s="285"/>
      <c r="E200" s="187"/>
      <c r="F200" s="187"/>
      <c r="G200" s="284"/>
      <c r="H200" s="288"/>
      <c r="I200" s="288"/>
    </row>
    <row r="201" spans="1:9" x14ac:dyDescent="0.25">
      <c r="A201" s="185" t="s">
        <v>50</v>
      </c>
      <c r="B201" s="251" t="s">
        <v>51</v>
      </c>
      <c r="C201" s="191"/>
      <c r="D201" s="286">
        <f t="shared" ref="D201:G203" si="133">D223+D209+D212+D206+D215+D219</f>
        <v>546042867.18000007</v>
      </c>
      <c r="E201" s="286">
        <f t="shared" si="133"/>
        <v>546042867.18000007</v>
      </c>
      <c r="F201" s="286">
        <f t="shared" si="133"/>
        <v>156443430.78999999</v>
      </c>
      <c r="G201" s="286">
        <f t="shared" si="133"/>
        <v>0</v>
      </c>
      <c r="H201" s="288">
        <f t="shared" ref="H201:H214" si="134">IF(F201&gt;E201,1,0)</f>
        <v>0</v>
      </c>
      <c r="I201" s="288">
        <f t="shared" si="69"/>
        <v>0</v>
      </c>
    </row>
    <row r="202" spans="1:9" x14ac:dyDescent="0.25">
      <c r="A202" s="381"/>
      <c r="B202" s="382" t="s">
        <v>146</v>
      </c>
      <c r="C202" s="383"/>
      <c r="D202" s="511">
        <f t="shared" si="133"/>
        <v>67356233</v>
      </c>
      <c r="E202" s="511">
        <f t="shared" si="133"/>
        <v>67356233</v>
      </c>
      <c r="F202" s="511">
        <f t="shared" si="133"/>
        <v>2996897.41</v>
      </c>
      <c r="G202" s="511">
        <f t="shared" si="133"/>
        <v>0</v>
      </c>
      <c r="H202" s="288">
        <f t="shared" si="134"/>
        <v>0</v>
      </c>
      <c r="I202" s="288">
        <f t="shared" si="69"/>
        <v>0</v>
      </c>
    </row>
    <row r="203" spans="1:9" x14ac:dyDescent="0.25">
      <c r="A203" s="381"/>
      <c r="B203" s="382" t="s">
        <v>147</v>
      </c>
      <c r="C203" s="383"/>
      <c r="D203" s="511">
        <f t="shared" si="133"/>
        <v>0</v>
      </c>
      <c r="E203" s="511">
        <f t="shared" si="133"/>
        <v>0</v>
      </c>
      <c r="F203" s="511">
        <f t="shared" si="133"/>
        <v>0</v>
      </c>
      <c r="G203" s="511">
        <f t="shared" si="133"/>
        <v>0</v>
      </c>
      <c r="H203" s="288">
        <f t="shared" si="134"/>
        <v>0</v>
      </c>
      <c r="I203" s="288">
        <f t="shared" si="69"/>
        <v>0</v>
      </c>
    </row>
    <row r="204" spans="1:9" x14ac:dyDescent="0.25">
      <c r="A204" s="381"/>
      <c r="B204" s="382" t="s">
        <v>326</v>
      </c>
      <c r="C204" s="383"/>
      <c r="D204" s="511">
        <f>D201-D202-D203</f>
        <v>478686634.18000007</v>
      </c>
      <c r="E204" s="511">
        <f t="shared" ref="E204:G204" si="135">E201-E202-E203</f>
        <v>478686634.18000007</v>
      </c>
      <c r="F204" s="511">
        <f t="shared" si="135"/>
        <v>153446533.38</v>
      </c>
      <c r="G204" s="511">
        <f t="shared" si="135"/>
        <v>0</v>
      </c>
      <c r="H204" s="288">
        <f t="shared" ref="H204" si="136">IF(F204&gt;E204,1,0)</f>
        <v>0</v>
      </c>
      <c r="I204" s="288">
        <f t="shared" ref="I204" si="137">IF(G204&lt;0,1,0)</f>
        <v>0</v>
      </c>
    </row>
    <row r="205" spans="1:9" x14ac:dyDescent="0.25">
      <c r="A205" s="193"/>
      <c r="B205" s="481" t="s">
        <v>38</v>
      </c>
      <c r="C205" s="189"/>
      <c r="D205" s="285"/>
      <c r="E205" s="187"/>
      <c r="F205" s="187"/>
      <c r="G205" s="284"/>
      <c r="H205" s="288">
        <f t="shared" si="134"/>
        <v>0</v>
      </c>
      <c r="I205" s="288">
        <f t="shared" si="69"/>
        <v>0</v>
      </c>
    </row>
    <row r="206" spans="1:9" ht="145.19999999999999" x14ac:dyDescent="0.25">
      <c r="A206" s="249"/>
      <c r="B206" s="482" t="s">
        <v>289</v>
      </c>
      <c r="C206" s="144" t="s">
        <v>288</v>
      </c>
      <c r="D206" s="269">
        <v>9000000</v>
      </c>
      <c r="E206" s="187">
        <f>'План и исполнение'!DS37</f>
        <v>9000000</v>
      </c>
      <c r="F206" s="187">
        <f>'План и исполнение'!EA37</f>
        <v>437528.2</v>
      </c>
      <c r="G206" s="284">
        <f>D206-E206</f>
        <v>0</v>
      </c>
      <c r="H206" s="288">
        <f>IF(F206&gt;E206,1,0)</f>
        <v>0</v>
      </c>
      <c r="I206" s="288">
        <f>IF(G206&lt;0,1,0)</f>
        <v>0</v>
      </c>
    </row>
    <row r="207" spans="1:9" x14ac:dyDescent="0.25">
      <c r="A207" s="388"/>
      <c r="B207" s="389" t="s">
        <v>146</v>
      </c>
      <c r="C207" s="390"/>
      <c r="D207" s="392">
        <f>D206-D208</f>
        <v>9000000</v>
      </c>
      <c r="E207" s="392">
        <f>E206-E208</f>
        <v>9000000</v>
      </c>
      <c r="F207" s="392">
        <f>F206-F208</f>
        <v>437528.2</v>
      </c>
      <c r="G207" s="392">
        <f>G206-G208</f>
        <v>0</v>
      </c>
      <c r="H207" s="288">
        <f>IF(F207&gt;E207,1,0)</f>
        <v>0</v>
      </c>
      <c r="I207" s="288">
        <f>IF(G207&lt;0,1,0)</f>
        <v>0</v>
      </c>
    </row>
    <row r="208" spans="1:9" x14ac:dyDescent="0.25">
      <c r="A208" s="388"/>
      <c r="B208" s="389" t="s">
        <v>147</v>
      </c>
      <c r="C208" s="390"/>
      <c r="D208" s="391"/>
      <c r="E208" s="391"/>
      <c r="F208" s="391">
        <v>0</v>
      </c>
      <c r="G208" s="392">
        <f>D208-E208</f>
        <v>0</v>
      </c>
      <c r="H208" s="288">
        <f>IF(F208&gt;E208,1,0)</f>
        <v>0</v>
      </c>
      <c r="I208" s="288">
        <f>IF(G208&lt;0,1,0)</f>
        <v>0</v>
      </c>
    </row>
    <row r="209" spans="1:10" ht="211.2" x14ac:dyDescent="0.25">
      <c r="A209" s="249"/>
      <c r="B209" s="482" t="s">
        <v>234</v>
      </c>
      <c r="C209" s="144" t="s">
        <v>220</v>
      </c>
      <c r="D209" s="269">
        <v>141400</v>
      </c>
      <c r="E209" s="187">
        <f>'План и исполнение'!DQ37</f>
        <v>141400</v>
      </c>
      <c r="F209" s="187">
        <f>'План и исполнение'!DY37</f>
        <v>0</v>
      </c>
      <c r="G209" s="284">
        <f>D209-E209</f>
        <v>0</v>
      </c>
      <c r="H209" s="288">
        <f t="shared" si="134"/>
        <v>0</v>
      </c>
      <c r="I209" s="288">
        <f t="shared" si="69"/>
        <v>0</v>
      </c>
      <c r="J209" s="1404">
        <f>D209+D212</f>
        <v>505000</v>
      </c>
    </row>
    <row r="210" spans="1:10" x14ac:dyDescent="0.25">
      <c r="A210" s="388"/>
      <c r="B210" s="389" t="s">
        <v>146</v>
      </c>
      <c r="C210" s="390"/>
      <c r="D210" s="392">
        <f>D209-D211</f>
        <v>141400</v>
      </c>
      <c r="E210" s="392">
        <f>E209-E211</f>
        <v>141400</v>
      </c>
      <c r="F210" s="392">
        <f>F209-F211</f>
        <v>0</v>
      </c>
      <c r="G210" s="392">
        <f>G209-G211</f>
        <v>0</v>
      </c>
      <c r="H210" s="288">
        <f t="shared" si="134"/>
        <v>0</v>
      </c>
      <c r="I210" s="288">
        <f t="shared" si="69"/>
        <v>0</v>
      </c>
    </row>
    <row r="211" spans="1:10" x14ac:dyDescent="0.25">
      <c r="A211" s="388"/>
      <c r="B211" s="389" t="s">
        <v>147</v>
      </c>
      <c r="C211" s="390"/>
      <c r="D211" s="391"/>
      <c r="E211" s="391"/>
      <c r="F211" s="391">
        <v>0</v>
      </c>
      <c r="G211" s="392">
        <f t="shared" ref="G211:G225" si="138">D211-E211</f>
        <v>0</v>
      </c>
      <c r="H211" s="288">
        <f t="shared" si="134"/>
        <v>0</v>
      </c>
      <c r="I211" s="288">
        <f t="shared" si="69"/>
        <v>0</v>
      </c>
    </row>
    <row r="212" spans="1:10" x14ac:dyDescent="0.25">
      <c r="A212" s="724"/>
      <c r="B212" s="725" t="s">
        <v>58</v>
      </c>
      <c r="C212" s="711" t="s">
        <v>220</v>
      </c>
      <c r="D212" s="726">
        <v>363600</v>
      </c>
      <c r="E212" s="723">
        <f>'План и исполнение'!DR37</f>
        <v>363600</v>
      </c>
      <c r="F212" s="723">
        <f>'План и исполнение'!DZ37</f>
        <v>0</v>
      </c>
      <c r="G212" s="727">
        <f t="shared" si="138"/>
        <v>0</v>
      </c>
      <c r="H212" s="288">
        <f t="shared" si="134"/>
        <v>0</v>
      </c>
      <c r="I212" s="288">
        <f t="shared" si="69"/>
        <v>0</v>
      </c>
      <c r="J212" s="1406"/>
    </row>
    <row r="213" spans="1:10" x14ac:dyDescent="0.25">
      <c r="A213" s="724"/>
      <c r="B213" s="728" t="s">
        <v>146</v>
      </c>
      <c r="C213" s="729"/>
      <c r="D213" s="727">
        <f>D212-D214</f>
        <v>363600</v>
      </c>
      <c r="E213" s="727">
        <f>E212-E214</f>
        <v>363600</v>
      </c>
      <c r="F213" s="727">
        <f>F212-F214</f>
        <v>0</v>
      </c>
      <c r="G213" s="727">
        <f>G212-G214</f>
        <v>0</v>
      </c>
      <c r="H213" s="288">
        <f t="shared" si="134"/>
        <v>0</v>
      </c>
      <c r="I213" s="288">
        <f t="shared" si="69"/>
        <v>0</v>
      </c>
    </row>
    <row r="214" spans="1:10" x14ac:dyDescent="0.25">
      <c r="A214" s="724"/>
      <c r="B214" s="728" t="s">
        <v>147</v>
      </c>
      <c r="C214" s="729"/>
      <c r="D214" s="730"/>
      <c r="E214" s="730"/>
      <c r="F214" s="730">
        <v>0</v>
      </c>
      <c r="G214" s="727">
        <f>D214-E214</f>
        <v>0</v>
      </c>
      <c r="H214" s="288">
        <f t="shared" si="134"/>
        <v>0</v>
      </c>
      <c r="I214" s="288">
        <f t="shared" si="69"/>
        <v>0</v>
      </c>
    </row>
    <row r="215" spans="1:10" ht="171.6" x14ac:dyDescent="0.25">
      <c r="A215" s="1106"/>
      <c r="B215" s="480" t="s">
        <v>432</v>
      </c>
      <c r="C215" s="144" t="s">
        <v>431</v>
      </c>
      <c r="D215" s="950">
        <f>20163027+3771307.18</f>
        <v>23934334.18</v>
      </c>
      <c r="E215" s="454">
        <f>'План и исполнение'!FF37</f>
        <v>23934334.18</v>
      </c>
      <c r="F215" s="454">
        <f>'План и исполнение'!FI37</f>
        <v>7672327.46</v>
      </c>
      <c r="G215" s="284">
        <f t="shared" ref="G215" si="139">D215-E215</f>
        <v>0</v>
      </c>
      <c r="H215" s="288">
        <f t="shared" ref="H215:H221" si="140">IF(F215&gt;E215,1,0)</f>
        <v>0</v>
      </c>
      <c r="I215" s="288">
        <f t="shared" ref="I215:I221" si="141">IF(G215&lt;0,1,0)</f>
        <v>0</v>
      </c>
      <c r="J215" s="1404">
        <f>D215+D219</f>
        <v>478686634.18000001</v>
      </c>
    </row>
    <row r="216" spans="1:10" x14ac:dyDescent="0.25">
      <c r="A216" s="388"/>
      <c r="B216" s="389" t="s">
        <v>146</v>
      </c>
      <c r="C216" s="390"/>
      <c r="D216" s="392"/>
      <c r="E216" s="392"/>
      <c r="F216" s="392"/>
      <c r="G216" s="392">
        <f t="shared" si="138"/>
        <v>0</v>
      </c>
      <c r="H216" s="288">
        <f t="shared" si="140"/>
        <v>0</v>
      </c>
      <c r="I216" s="288">
        <f t="shared" si="141"/>
        <v>0</v>
      </c>
    </row>
    <row r="217" spans="1:10" x14ac:dyDescent="0.25">
      <c r="A217" s="388"/>
      <c r="B217" s="389" t="s">
        <v>147</v>
      </c>
      <c r="C217" s="390"/>
      <c r="D217" s="392"/>
      <c r="E217" s="392"/>
      <c r="F217" s="392"/>
      <c r="G217" s="392">
        <f t="shared" si="138"/>
        <v>0</v>
      </c>
      <c r="H217" s="288">
        <f t="shared" si="140"/>
        <v>0</v>
      </c>
      <c r="I217" s="288">
        <f t="shared" si="141"/>
        <v>0</v>
      </c>
    </row>
    <row r="218" spans="1:10" x14ac:dyDescent="0.25">
      <c r="A218" s="388"/>
      <c r="B218" s="389" t="s">
        <v>326</v>
      </c>
      <c r="C218" s="390"/>
      <c r="D218" s="392">
        <f>D215</f>
        <v>23934334.18</v>
      </c>
      <c r="E218" s="392">
        <f t="shared" ref="E218:F218" si="142">E215</f>
        <v>23934334.18</v>
      </c>
      <c r="F218" s="392">
        <f t="shared" si="142"/>
        <v>7672327.46</v>
      </c>
      <c r="G218" s="392">
        <f t="shared" si="138"/>
        <v>0</v>
      </c>
      <c r="H218" s="288">
        <f t="shared" si="140"/>
        <v>0</v>
      </c>
      <c r="I218" s="288">
        <f t="shared" si="141"/>
        <v>0</v>
      </c>
    </row>
    <row r="219" spans="1:10" x14ac:dyDescent="0.25">
      <c r="A219" s="724"/>
      <c r="B219" s="725" t="s">
        <v>58</v>
      </c>
      <c r="C219" s="711" t="s">
        <v>431</v>
      </c>
      <c r="D219" s="726">
        <f>383097500+71654800</f>
        <v>454752300</v>
      </c>
      <c r="E219" s="1023">
        <f>'План и исполнение'!FG37</f>
        <v>454752300</v>
      </c>
      <c r="F219" s="1023">
        <f>'План и исполнение'!FJ37</f>
        <v>145774205.91999999</v>
      </c>
      <c r="G219" s="727">
        <f>D219-E219</f>
        <v>0</v>
      </c>
      <c r="H219" s="288">
        <f t="shared" si="140"/>
        <v>0</v>
      </c>
      <c r="I219" s="288">
        <f t="shared" si="141"/>
        <v>0</v>
      </c>
    </row>
    <row r="220" spans="1:10" x14ac:dyDescent="0.25">
      <c r="A220" s="724"/>
      <c r="B220" s="728" t="s">
        <v>146</v>
      </c>
      <c r="C220" s="729"/>
      <c r="D220" s="727"/>
      <c r="E220" s="727"/>
      <c r="F220" s="727"/>
      <c r="G220" s="727">
        <f t="shared" ref="G220:G222" si="143">D220-E220</f>
        <v>0</v>
      </c>
      <c r="H220" s="288">
        <f t="shared" si="140"/>
        <v>0</v>
      </c>
      <c r="I220" s="288">
        <f t="shared" si="141"/>
        <v>0</v>
      </c>
    </row>
    <row r="221" spans="1:10" x14ac:dyDescent="0.25">
      <c r="A221" s="724"/>
      <c r="B221" s="728" t="s">
        <v>147</v>
      </c>
      <c r="C221" s="729"/>
      <c r="D221" s="727"/>
      <c r="E221" s="727"/>
      <c r="F221" s="727"/>
      <c r="G221" s="727">
        <f t="shared" si="143"/>
        <v>0</v>
      </c>
      <c r="H221" s="288">
        <f t="shared" si="140"/>
        <v>0</v>
      </c>
      <c r="I221" s="288">
        <f t="shared" si="141"/>
        <v>0</v>
      </c>
    </row>
    <row r="222" spans="1:10" x14ac:dyDescent="0.25">
      <c r="A222" s="724"/>
      <c r="B222" s="728" t="s">
        <v>326</v>
      </c>
      <c r="C222" s="729"/>
      <c r="D222" s="727">
        <f>D219</f>
        <v>454752300</v>
      </c>
      <c r="E222" s="727">
        <f t="shared" ref="E222:F222" si="144">E219</f>
        <v>454752300</v>
      </c>
      <c r="F222" s="727">
        <f t="shared" si="144"/>
        <v>145774205.91999999</v>
      </c>
      <c r="G222" s="727">
        <f t="shared" si="143"/>
        <v>0</v>
      </c>
      <c r="H222" s="288">
        <f t="shared" ref="H222" si="145">IF(F222&gt;E222,1,0)</f>
        <v>0</v>
      </c>
      <c r="I222" s="288">
        <f t="shared" ref="I222" si="146">IF(G222&lt;0,1,0)</f>
        <v>0</v>
      </c>
    </row>
    <row r="223" spans="1:10" ht="171.6" x14ac:dyDescent="0.25">
      <c r="A223" s="193"/>
      <c r="B223" s="482" t="s">
        <v>223</v>
      </c>
      <c r="C223" s="144" t="s">
        <v>199</v>
      </c>
      <c r="D223" s="283">
        <v>57851233</v>
      </c>
      <c r="E223" s="454">
        <f>D223</f>
        <v>57851233</v>
      </c>
      <c r="F223" s="393">
        <v>2559369.21</v>
      </c>
      <c r="G223" s="284">
        <f t="shared" si="138"/>
        <v>0</v>
      </c>
      <c r="H223" s="288">
        <f t="shared" ref="H223:H263" si="147">IF(F223&gt;E223,1,0)</f>
        <v>0</v>
      </c>
      <c r="I223" s="288">
        <f t="shared" si="69"/>
        <v>0</v>
      </c>
    </row>
    <row r="224" spans="1:10" x14ac:dyDescent="0.25">
      <c r="A224" s="388"/>
      <c r="B224" s="389" t="s">
        <v>146</v>
      </c>
      <c r="C224" s="390"/>
      <c r="D224" s="392">
        <f>D223-D225</f>
        <v>57851233</v>
      </c>
      <c r="E224" s="392">
        <f>E223-E225</f>
        <v>57851233</v>
      </c>
      <c r="F224" s="392">
        <f>F223-F225</f>
        <v>2559369.21</v>
      </c>
      <c r="G224" s="392">
        <f t="shared" si="138"/>
        <v>0</v>
      </c>
      <c r="H224" s="288">
        <f t="shared" si="147"/>
        <v>0</v>
      </c>
      <c r="I224" s="288">
        <f t="shared" si="69"/>
        <v>0</v>
      </c>
    </row>
    <row r="225" spans="1:10" x14ac:dyDescent="0.25">
      <c r="A225" s="388"/>
      <c r="B225" s="389" t="s">
        <v>147</v>
      </c>
      <c r="C225" s="390"/>
      <c r="D225" s="391"/>
      <c r="E225" s="460">
        <f>D225</f>
        <v>0</v>
      </c>
      <c r="F225" s="391"/>
      <c r="G225" s="392">
        <f t="shared" si="138"/>
        <v>0</v>
      </c>
      <c r="H225" s="288">
        <f t="shared" si="147"/>
        <v>0</v>
      </c>
      <c r="I225" s="288">
        <f t="shared" si="69"/>
        <v>0</v>
      </c>
    </row>
    <row r="226" spans="1:10" x14ac:dyDescent="0.25">
      <c r="A226" s="193"/>
      <c r="B226" s="190"/>
      <c r="C226" s="189"/>
      <c r="D226" s="285"/>
      <c r="E226" s="187"/>
      <c r="F226" s="187"/>
      <c r="G226" s="284"/>
      <c r="H226" s="288">
        <f t="shared" si="147"/>
        <v>0</v>
      </c>
      <c r="I226" s="288">
        <f t="shared" si="69"/>
        <v>0</v>
      </c>
    </row>
    <row r="227" spans="1:10" x14ac:dyDescent="0.25">
      <c r="A227" s="185" t="s">
        <v>76</v>
      </c>
      <c r="B227" s="251" t="s">
        <v>113</v>
      </c>
      <c r="C227" s="191"/>
      <c r="D227" s="286">
        <f>D241+D290+D272+D250+D253+D276+D232+D235+D238+D264+D268+D280+D284+D287+D256+D260+D244+D247</f>
        <v>1552849296.48</v>
      </c>
      <c r="E227" s="286">
        <f t="shared" ref="E227:G227" si="148">E241+E290+E272+E250+E253+E276+E232+E235+E238+E264+E268+E280+E284+E287+E256+E260+E244+E247</f>
        <v>1536130601.48</v>
      </c>
      <c r="F227" s="286">
        <f t="shared" si="148"/>
        <v>648407076.34000003</v>
      </c>
      <c r="G227" s="286">
        <f t="shared" si="148"/>
        <v>16718695</v>
      </c>
      <c r="H227" s="288">
        <f t="shared" si="147"/>
        <v>0</v>
      </c>
      <c r="I227" s="288">
        <f t="shared" si="69"/>
        <v>0</v>
      </c>
    </row>
    <row r="228" spans="1:10" x14ac:dyDescent="0.25">
      <c r="A228" s="381"/>
      <c r="B228" s="382" t="s">
        <v>146</v>
      </c>
      <c r="C228" s="383"/>
      <c r="D228" s="511">
        <f>D242+D291+D273+D251+D254+D277+D233+D236+D239+D265+D269+D281+D285+D288+D257+D261+D245+D248</f>
        <v>224748771.30999997</v>
      </c>
      <c r="E228" s="511">
        <f t="shared" ref="E228:G228" si="149">E242+E291+E273+E251+E254+E277+E233+E236+E239+E265+E269+E281+E285+E288+E257+E261+E245+E248</f>
        <v>208030122.30999997</v>
      </c>
      <c r="F228" s="511">
        <f t="shared" si="149"/>
        <v>19844986.98</v>
      </c>
      <c r="G228" s="511">
        <f t="shared" si="149"/>
        <v>16718649</v>
      </c>
      <c r="H228" s="288">
        <f t="shared" si="147"/>
        <v>0</v>
      </c>
      <c r="I228" s="288">
        <f t="shared" si="69"/>
        <v>0</v>
      </c>
    </row>
    <row r="229" spans="1:10" x14ac:dyDescent="0.25">
      <c r="A229" s="381"/>
      <c r="B229" s="382" t="s">
        <v>147</v>
      </c>
      <c r="C229" s="383"/>
      <c r="D229" s="511">
        <f>D243+D292+D274+D252+D255+D278+D234+D237+D240+D266+D270+D282+D286+D289+D258+D262+D246+D249</f>
        <v>666017230.12</v>
      </c>
      <c r="E229" s="511">
        <f t="shared" ref="E229:G229" si="150">E243+E292+E274+E252+E255+E278+E234+E237+E240+E266+E270+E282+E286+E289+E258+E262+E246+E249</f>
        <v>666017230.12</v>
      </c>
      <c r="F229" s="511">
        <f t="shared" si="150"/>
        <v>135026743.69</v>
      </c>
      <c r="G229" s="511">
        <f t="shared" si="150"/>
        <v>0</v>
      </c>
      <c r="H229" s="288">
        <f t="shared" si="147"/>
        <v>0</v>
      </c>
      <c r="I229" s="288">
        <f t="shared" si="69"/>
        <v>0</v>
      </c>
    </row>
    <row r="230" spans="1:10" x14ac:dyDescent="0.25">
      <c r="A230" s="381"/>
      <c r="B230" s="382" t="s">
        <v>326</v>
      </c>
      <c r="C230" s="383"/>
      <c r="D230" s="511">
        <f>D227-D228-D229</f>
        <v>662083295.05000007</v>
      </c>
      <c r="E230" s="511">
        <f t="shared" ref="E230:G230" si="151">E227-E228-E229</f>
        <v>662083249.05000007</v>
      </c>
      <c r="F230" s="511">
        <f t="shared" si="151"/>
        <v>493535345.67000002</v>
      </c>
      <c r="G230" s="511">
        <f t="shared" si="151"/>
        <v>46</v>
      </c>
      <c r="H230" s="288">
        <f t="shared" si="147"/>
        <v>0</v>
      </c>
      <c r="I230" s="288">
        <f t="shared" si="69"/>
        <v>0</v>
      </c>
    </row>
    <row r="231" spans="1:10" x14ac:dyDescent="0.25">
      <c r="A231" s="193"/>
      <c r="B231" s="481" t="s">
        <v>38</v>
      </c>
      <c r="C231" s="189"/>
      <c r="D231" s="285"/>
      <c r="E231" s="187"/>
      <c r="F231" s="187"/>
      <c r="G231" s="284"/>
      <c r="H231" s="288">
        <f t="shared" si="147"/>
        <v>0</v>
      </c>
      <c r="I231" s="288">
        <f t="shared" si="69"/>
        <v>0</v>
      </c>
    </row>
    <row r="232" spans="1:10" ht="237.6" x14ac:dyDescent="0.25">
      <c r="A232" s="193"/>
      <c r="B232" s="480" t="s">
        <v>313</v>
      </c>
      <c r="C232" s="144" t="s">
        <v>312</v>
      </c>
      <c r="D232" s="283">
        <v>9582444.4399999995</v>
      </c>
      <c r="E232" s="200">
        <f>'План и исполнение'!DN37</f>
        <v>9582444.4399999995</v>
      </c>
      <c r="F232" s="200">
        <f>'План и исполнение'!DV37</f>
        <v>420000</v>
      </c>
      <c r="G232" s="284">
        <f>D232-E232</f>
        <v>0</v>
      </c>
      <c r="H232" s="288">
        <f>IF(F232&gt;E232,1,0)</f>
        <v>0</v>
      </c>
      <c r="I232" s="288">
        <f>IF(G232&lt;0,1,0)</f>
        <v>0</v>
      </c>
    </row>
    <row r="233" spans="1:10" x14ac:dyDescent="0.25">
      <c r="A233" s="388"/>
      <c r="B233" s="389" t="s">
        <v>146</v>
      </c>
      <c r="C233" s="390"/>
      <c r="D233" s="392">
        <f>D232</f>
        <v>9582444.4399999995</v>
      </c>
      <c r="E233" s="392">
        <f>E232</f>
        <v>9582444.4399999995</v>
      </c>
      <c r="F233" s="392">
        <f>F232</f>
        <v>420000</v>
      </c>
      <c r="G233" s="392">
        <f>D233-E233</f>
        <v>0</v>
      </c>
      <c r="H233" s="288">
        <f>IF(F233&gt;E233,1,0)</f>
        <v>0</v>
      </c>
      <c r="I233" s="288">
        <f>IF(G233&lt;0,1,0)</f>
        <v>0</v>
      </c>
    </row>
    <row r="234" spans="1:10" x14ac:dyDescent="0.25">
      <c r="A234" s="388"/>
      <c r="B234" s="389" t="s">
        <v>147</v>
      </c>
      <c r="C234" s="390"/>
      <c r="D234" s="392"/>
      <c r="E234" s="392"/>
      <c r="F234" s="392"/>
      <c r="G234" s="392">
        <f>D234-E234</f>
        <v>0</v>
      </c>
      <c r="H234" s="288">
        <f>IF(F234&gt;E234,1,0)</f>
        <v>0</v>
      </c>
      <c r="I234" s="288">
        <f>IF(G234&lt;0,1,0)</f>
        <v>0</v>
      </c>
    </row>
    <row r="235" spans="1:10" ht="290.39999999999998" x14ac:dyDescent="0.25">
      <c r="A235" s="1088"/>
      <c r="B235" s="480" t="s">
        <v>337</v>
      </c>
      <c r="C235" s="144" t="s">
        <v>336</v>
      </c>
      <c r="D235" s="283">
        <v>1036000</v>
      </c>
      <c r="E235" s="200">
        <f>'План и исполнение'!DO37</f>
        <v>1036000</v>
      </c>
      <c r="F235" s="200">
        <f>'План и исполнение'!DW37</f>
        <v>0</v>
      </c>
      <c r="G235" s="284">
        <f t="shared" ref="G235:G238" si="152">D235-E235</f>
        <v>0</v>
      </c>
      <c r="H235" s="288">
        <f t="shared" ref="H235:H240" si="153">IF(F235&gt;E235,1,0)</f>
        <v>0</v>
      </c>
      <c r="I235" s="288">
        <f t="shared" ref="I235:I240" si="154">IF(G235&lt;0,1,0)</f>
        <v>0</v>
      </c>
      <c r="J235" s="1404">
        <f>D235+D238</f>
        <v>3700000</v>
      </c>
    </row>
    <row r="236" spans="1:10" x14ac:dyDescent="0.25">
      <c r="A236" s="388"/>
      <c r="B236" s="389" t="s">
        <v>146</v>
      </c>
      <c r="C236" s="390"/>
      <c r="D236" s="392">
        <f>D235</f>
        <v>1036000</v>
      </c>
      <c r="E236" s="392">
        <f>E235</f>
        <v>1036000</v>
      </c>
      <c r="F236" s="392">
        <f>F235</f>
        <v>0</v>
      </c>
      <c r="G236" s="392">
        <f t="shared" si="152"/>
        <v>0</v>
      </c>
      <c r="H236" s="288">
        <f t="shared" si="153"/>
        <v>0</v>
      </c>
      <c r="I236" s="288">
        <f t="shared" si="154"/>
        <v>0</v>
      </c>
    </row>
    <row r="237" spans="1:10" x14ac:dyDescent="0.25">
      <c r="A237" s="388"/>
      <c r="B237" s="389" t="s">
        <v>147</v>
      </c>
      <c r="C237" s="390"/>
      <c r="D237" s="392"/>
      <c r="E237" s="392"/>
      <c r="F237" s="392"/>
      <c r="G237" s="392">
        <f t="shared" si="152"/>
        <v>0</v>
      </c>
      <c r="H237" s="288">
        <f t="shared" si="153"/>
        <v>0</v>
      </c>
      <c r="I237" s="288">
        <f t="shared" si="154"/>
        <v>0</v>
      </c>
    </row>
    <row r="238" spans="1:10" x14ac:dyDescent="0.25">
      <c r="A238" s="724"/>
      <c r="B238" s="725" t="s">
        <v>58</v>
      </c>
      <c r="C238" s="711" t="s">
        <v>336</v>
      </c>
      <c r="D238" s="726">
        <v>2664000</v>
      </c>
      <c r="E238" s="723">
        <f>'План и исполнение'!DP37</f>
        <v>2664000</v>
      </c>
      <c r="F238" s="723">
        <f>'План и исполнение'!DX37</f>
        <v>0</v>
      </c>
      <c r="G238" s="727">
        <f t="shared" si="152"/>
        <v>0</v>
      </c>
      <c r="H238" s="288">
        <f t="shared" si="153"/>
        <v>0</v>
      </c>
      <c r="I238" s="288">
        <f t="shared" si="154"/>
        <v>0</v>
      </c>
    </row>
    <row r="239" spans="1:10" x14ac:dyDescent="0.25">
      <c r="A239" s="724"/>
      <c r="B239" s="728" t="s">
        <v>146</v>
      </c>
      <c r="C239" s="729"/>
      <c r="D239" s="727">
        <f>D238</f>
        <v>2664000</v>
      </c>
      <c r="E239" s="727">
        <f>E238</f>
        <v>2664000</v>
      </c>
      <c r="F239" s="727">
        <f>F238</f>
        <v>0</v>
      </c>
      <c r="G239" s="727">
        <f>D239-E239</f>
        <v>0</v>
      </c>
      <c r="H239" s="288">
        <f t="shared" si="153"/>
        <v>0</v>
      </c>
      <c r="I239" s="288">
        <f t="shared" si="154"/>
        <v>0</v>
      </c>
    </row>
    <row r="240" spans="1:10" x14ac:dyDescent="0.25">
      <c r="A240" s="724"/>
      <c r="B240" s="728" t="s">
        <v>147</v>
      </c>
      <c r="C240" s="729"/>
      <c r="D240" s="727"/>
      <c r="E240" s="727"/>
      <c r="F240" s="727"/>
      <c r="G240" s="727">
        <f>D240-E240</f>
        <v>0</v>
      </c>
      <c r="H240" s="288">
        <f t="shared" si="153"/>
        <v>0</v>
      </c>
      <c r="I240" s="288">
        <f t="shared" si="154"/>
        <v>0</v>
      </c>
    </row>
    <row r="241" spans="1:10" ht="118.8" hidden="1" x14ac:dyDescent="0.25">
      <c r="A241" s="1274"/>
      <c r="B241" s="480" t="s">
        <v>224</v>
      </c>
      <c r="C241" s="144" t="s">
        <v>203</v>
      </c>
      <c r="D241" s="283"/>
      <c r="E241" s="200">
        <f>'Прочая  субсидия_МР  и  ГО'!H33</f>
        <v>0</v>
      </c>
      <c r="F241" s="200">
        <f>'Прочая  субсидия_МР  и  ГО'!I33</f>
        <v>0</v>
      </c>
      <c r="G241" s="284">
        <f t="shared" ref="G241:G275" si="155">D241-E241</f>
        <v>0</v>
      </c>
      <c r="H241" s="288">
        <f t="shared" si="147"/>
        <v>0</v>
      </c>
      <c r="I241" s="288">
        <f t="shared" si="69"/>
        <v>0</v>
      </c>
    </row>
    <row r="242" spans="1:10" hidden="1" x14ac:dyDescent="0.25">
      <c r="A242" s="388"/>
      <c r="B242" s="389" t="s">
        <v>146</v>
      </c>
      <c r="C242" s="390"/>
      <c r="D242" s="392">
        <f>D241</f>
        <v>0</v>
      </c>
      <c r="E242" s="392">
        <f>E241</f>
        <v>0</v>
      </c>
      <c r="F242" s="392">
        <f>F241</f>
        <v>0</v>
      </c>
      <c r="G242" s="392">
        <f t="shared" si="155"/>
        <v>0</v>
      </c>
      <c r="H242" s="288">
        <f t="shared" si="147"/>
        <v>0</v>
      </c>
      <c r="I242" s="288">
        <f t="shared" si="69"/>
        <v>0</v>
      </c>
    </row>
    <row r="243" spans="1:10" hidden="1" x14ac:dyDescent="0.25">
      <c r="A243" s="388"/>
      <c r="B243" s="389" t="s">
        <v>147</v>
      </c>
      <c r="C243" s="390"/>
      <c r="D243" s="392">
        <f>D241-D242</f>
        <v>0</v>
      </c>
      <c r="E243" s="392">
        <f>E241-E242</f>
        <v>0</v>
      </c>
      <c r="F243" s="392">
        <f>F241-F242</f>
        <v>0</v>
      </c>
      <c r="G243" s="392">
        <f t="shared" si="155"/>
        <v>0</v>
      </c>
      <c r="H243" s="288">
        <f t="shared" si="147"/>
        <v>0</v>
      </c>
      <c r="I243" s="288">
        <f t="shared" si="69"/>
        <v>0</v>
      </c>
    </row>
    <row r="244" spans="1:10" ht="145.19999999999999" x14ac:dyDescent="0.25">
      <c r="A244" s="1393"/>
      <c r="B244" s="480" t="s">
        <v>792</v>
      </c>
      <c r="C244" s="144" t="s">
        <v>791</v>
      </c>
      <c r="D244" s="283">
        <v>6471422.2199999997</v>
      </c>
      <c r="E244" s="200">
        <f>'План и исполнение'!GB37</f>
        <v>6471422.2199999997</v>
      </c>
      <c r="F244" s="200">
        <f>'План и исполнение'!GE37</f>
        <v>0</v>
      </c>
      <c r="G244" s="284">
        <f t="shared" si="155"/>
        <v>0</v>
      </c>
      <c r="H244" s="288">
        <f t="shared" si="147"/>
        <v>0</v>
      </c>
      <c r="I244" s="288">
        <f t="shared" si="69"/>
        <v>0</v>
      </c>
      <c r="J244" s="1404">
        <f>D244+D247</f>
        <v>23112222.219999999</v>
      </c>
    </row>
    <row r="245" spans="1:10" x14ac:dyDescent="0.25">
      <c r="A245" s="388"/>
      <c r="B245" s="389" t="s">
        <v>146</v>
      </c>
      <c r="C245" s="390"/>
      <c r="D245" s="392">
        <f>D244</f>
        <v>6471422.2199999997</v>
      </c>
      <c r="E245" s="392">
        <f>E244</f>
        <v>6471422.2199999997</v>
      </c>
      <c r="F245" s="392">
        <f>F244</f>
        <v>0</v>
      </c>
      <c r="G245" s="392">
        <f t="shared" si="155"/>
        <v>0</v>
      </c>
      <c r="H245" s="288">
        <f t="shared" si="147"/>
        <v>0</v>
      </c>
      <c r="I245" s="288">
        <f t="shared" si="69"/>
        <v>0</v>
      </c>
    </row>
    <row r="246" spans="1:10" x14ac:dyDescent="0.25">
      <c r="A246" s="388"/>
      <c r="B246" s="389" t="s">
        <v>147</v>
      </c>
      <c r="C246" s="390"/>
      <c r="D246" s="392"/>
      <c r="E246" s="392"/>
      <c r="F246" s="392"/>
      <c r="G246" s="392">
        <f t="shared" si="155"/>
        <v>0</v>
      </c>
      <c r="H246" s="288">
        <f t="shared" si="147"/>
        <v>0</v>
      </c>
      <c r="I246" s="288">
        <f t="shared" si="69"/>
        <v>0</v>
      </c>
    </row>
    <row r="247" spans="1:10" x14ac:dyDescent="0.25">
      <c r="A247" s="724"/>
      <c r="B247" s="725" t="s">
        <v>58</v>
      </c>
      <c r="C247" s="711" t="s">
        <v>791</v>
      </c>
      <c r="D247" s="726">
        <v>16640800</v>
      </c>
      <c r="E247" s="723">
        <f>'План и исполнение'!GC37</f>
        <v>16640800</v>
      </c>
      <c r="F247" s="723">
        <f>'План и исполнение'!GF37</f>
        <v>0</v>
      </c>
      <c r="G247" s="727">
        <f t="shared" si="155"/>
        <v>0</v>
      </c>
      <c r="H247" s="288">
        <f t="shared" si="147"/>
        <v>0</v>
      </c>
      <c r="I247" s="288">
        <f t="shared" si="69"/>
        <v>0</v>
      </c>
    </row>
    <row r="248" spans="1:10" x14ac:dyDescent="0.25">
      <c r="A248" s="724"/>
      <c r="B248" s="728" t="s">
        <v>146</v>
      </c>
      <c r="C248" s="729"/>
      <c r="D248" s="727">
        <f>D247</f>
        <v>16640800</v>
      </c>
      <c r="E248" s="727">
        <f>E247</f>
        <v>16640800</v>
      </c>
      <c r="F248" s="727">
        <f>F247</f>
        <v>0</v>
      </c>
      <c r="G248" s="727">
        <f>D248-E248</f>
        <v>0</v>
      </c>
      <c r="H248" s="288">
        <f t="shared" si="147"/>
        <v>0</v>
      </c>
      <c r="I248" s="288">
        <f t="shared" si="69"/>
        <v>0</v>
      </c>
    </row>
    <row r="249" spans="1:10" x14ac:dyDescent="0.25">
      <c r="A249" s="724"/>
      <c r="B249" s="728" t="s">
        <v>147</v>
      </c>
      <c r="C249" s="729"/>
      <c r="D249" s="727"/>
      <c r="E249" s="727"/>
      <c r="F249" s="727"/>
      <c r="G249" s="727">
        <f>D249-E249</f>
        <v>0</v>
      </c>
      <c r="H249" s="288">
        <f t="shared" si="147"/>
        <v>0</v>
      </c>
      <c r="I249" s="288">
        <f t="shared" si="69"/>
        <v>0</v>
      </c>
    </row>
    <row r="250" spans="1:10" ht="118.8" x14ac:dyDescent="0.25">
      <c r="A250" s="193"/>
      <c r="B250" s="480" t="s">
        <v>653</v>
      </c>
      <c r="C250" s="144" t="s">
        <v>427</v>
      </c>
      <c r="D250" s="283">
        <v>1853444.45</v>
      </c>
      <c r="E250" s="200">
        <f>'План и исполнение'!ED37</f>
        <v>1853444.45</v>
      </c>
      <c r="F250" s="200">
        <f>'План и исполнение'!EG37</f>
        <v>0</v>
      </c>
      <c r="G250" s="284">
        <f t="shared" si="155"/>
        <v>0</v>
      </c>
      <c r="H250" s="288">
        <f t="shared" si="147"/>
        <v>0</v>
      </c>
      <c r="I250" s="288">
        <f t="shared" si="69"/>
        <v>0</v>
      </c>
      <c r="J250" s="1404">
        <f>D250+D253</f>
        <v>6619444.4500000002</v>
      </c>
    </row>
    <row r="251" spans="1:10" x14ac:dyDescent="0.25">
      <c r="A251" s="388"/>
      <c r="B251" s="389" t="s">
        <v>146</v>
      </c>
      <c r="C251" s="390"/>
      <c r="D251" s="392">
        <f>D250</f>
        <v>1853444.45</v>
      </c>
      <c r="E251" s="392">
        <f>E250</f>
        <v>1853444.45</v>
      </c>
      <c r="F251" s="392">
        <f>F250</f>
        <v>0</v>
      </c>
      <c r="G251" s="392">
        <f t="shared" si="155"/>
        <v>0</v>
      </c>
      <c r="H251" s="288">
        <f t="shared" si="147"/>
        <v>0</v>
      </c>
      <c r="I251" s="288">
        <f t="shared" si="69"/>
        <v>0</v>
      </c>
    </row>
    <row r="252" spans="1:10" x14ac:dyDescent="0.25">
      <c r="A252" s="388"/>
      <c r="B252" s="389" t="s">
        <v>147</v>
      </c>
      <c r="C252" s="390"/>
      <c r="D252" s="392"/>
      <c r="E252" s="392"/>
      <c r="F252" s="392"/>
      <c r="G252" s="392">
        <f t="shared" si="155"/>
        <v>0</v>
      </c>
      <c r="H252" s="288">
        <f t="shared" si="147"/>
        <v>0</v>
      </c>
      <c r="I252" s="288">
        <f t="shared" si="69"/>
        <v>0</v>
      </c>
    </row>
    <row r="253" spans="1:10" x14ac:dyDescent="0.25">
      <c r="A253" s="724"/>
      <c r="B253" s="725" t="s">
        <v>58</v>
      </c>
      <c r="C253" s="711" t="s">
        <v>427</v>
      </c>
      <c r="D253" s="726">
        <v>4766000</v>
      </c>
      <c r="E253" s="723">
        <f>'План и исполнение'!EE37</f>
        <v>4766000</v>
      </c>
      <c r="F253" s="723">
        <f>'План и исполнение'!EH37</f>
        <v>0</v>
      </c>
      <c r="G253" s="727">
        <f t="shared" si="155"/>
        <v>0</v>
      </c>
      <c r="H253" s="288">
        <f t="shared" si="147"/>
        <v>0</v>
      </c>
      <c r="I253" s="288">
        <f t="shared" si="69"/>
        <v>0</v>
      </c>
    </row>
    <row r="254" spans="1:10" x14ac:dyDescent="0.25">
      <c r="A254" s="724"/>
      <c r="B254" s="728" t="s">
        <v>146</v>
      </c>
      <c r="C254" s="729"/>
      <c r="D254" s="727">
        <f>D253</f>
        <v>4766000</v>
      </c>
      <c r="E254" s="727">
        <f>E253</f>
        <v>4766000</v>
      </c>
      <c r="F254" s="727">
        <f>F253</f>
        <v>0</v>
      </c>
      <c r="G254" s="727">
        <f>D254-E254</f>
        <v>0</v>
      </c>
      <c r="H254" s="288">
        <f t="shared" si="147"/>
        <v>0</v>
      </c>
      <c r="I254" s="288">
        <f t="shared" si="69"/>
        <v>0</v>
      </c>
    </row>
    <row r="255" spans="1:10" x14ac:dyDescent="0.25">
      <c r="A255" s="724"/>
      <c r="B255" s="728" t="s">
        <v>147</v>
      </c>
      <c r="C255" s="729"/>
      <c r="D255" s="727"/>
      <c r="E255" s="727"/>
      <c r="F255" s="727"/>
      <c r="G255" s="727">
        <f>D255-E255</f>
        <v>0</v>
      </c>
      <c r="H255" s="288">
        <f t="shared" si="147"/>
        <v>0</v>
      </c>
      <c r="I255" s="288">
        <f t="shared" si="69"/>
        <v>0</v>
      </c>
    </row>
    <row r="256" spans="1:10" ht="118.8" x14ac:dyDescent="0.25">
      <c r="A256" s="1313"/>
      <c r="B256" s="482" t="s">
        <v>727</v>
      </c>
      <c r="C256" s="144" t="s">
        <v>728</v>
      </c>
      <c r="D256" s="283">
        <v>13627696.82</v>
      </c>
      <c r="E256" s="502">
        <f>'План и исполнение'!LH37</f>
        <v>13627696.82</v>
      </c>
      <c r="F256" s="502">
        <f>'План и исполнение'!LN37</f>
        <v>3524738.08</v>
      </c>
      <c r="G256" s="284">
        <f>D256-E256</f>
        <v>0</v>
      </c>
      <c r="H256" s="288">
        <f t="shared" si="147"/>
        <v>0</v>
      </c>
      <c r="I256" s="288">
        <f t="shared" si="69"/>
        <v>0</v>
      </c>
      <c r="J256" s="1404">
        <f>D256+D260</f>
        <v>48670296.82</v>
      </c>
    </row>
    <row r="257" spans="1:10" x14ac:dyDescent="0.25">
      <c r="A257" s="388"/>
      <c r="B257" s="389" t="s">
        <v>146</v>
      </c>
      <c r="C257" s="390"/>
      <c r="D257" s="392"/>
      <c r="E257" s="392"/>
      <c r="F257" s="392"/>
      <c r="G257" s="392">
        <f t="shared" ref="G257:G259" si="156">D257-E257</f>
        <v>0</v>
      </c>
      <c r="H257" s="288">
        <f t="shared" si="147"/>
        <v>0</v>
      </c>
      <c r="I257" s="288">
        <f t="shared" si="69"/>
        <v>0</v>
      </c>
    </row>
    <row r="258" spans="1:10" x14ac:dyDescent="0.25">
      <c r="A258" s="388"/>
      <c r="B258" s="389" t="s">
        <v>147</v>
      </c>
      <c r="C258" s="390"/>
      <c r="D258" s="392"/>
      <c r="E258" s="392"/>
      <c r="F258" s="392"/>
      <c r="G258" s="392">
        <f t="shared" si="156"/>
        <v>0</v>
      </c>
      <c r="H258" s="288">
        <f t="shared" si="147"/>
        <v>0</v>
      </c>
      <c r="I258" s="288">
        <f t="shared" si="69"/>
        <v>0</v>
      </c>
    </row>
    <row r="259" spans="1:10" x14ac:dyDescent="0.25">
      <c r="A259" s="388"/>
      <c r="B259" s="389" t="s">
        <v>326</v>
      </c>
      <c r="C259" s="390"/>
      <c r="D259" s="392">
        <f>D256-D257-D258</f>
        <v>13627696.82</v>
      </c>
      <c r="E259" s="392">
        <f t="shared" ref="E259:F259" si="157">E256-E257-E258</f>
        <v>13627696.82</v>
      </c>
      <c r="F259" s="392">
        <f t="shared" si="157"/>
        <v>3524738.08</v>
      </c>
      <c r="G259" s="392">
        <f t="shared" si="156"/>
        <v>0</v>
      </c>
      <c r="H259" s="288">
        <f t="shared" si="147"/>
        <v>0</v>
      </c>
      <c r="I259" s="288">
        <f t="shared" si="69"/>
        <v>0</v>
      </c>
    </row>
    <row r="260" spans="1:10" x14ac:dyDescent="0.25">
      <c r="A260" s="724"/>
      <c r="B260" s="725" t="s">
        <v>58</v>
      </c>
      <c r="C260" s="711" t="s">
        <v>728</v>
      </c>
      <c r="D260" s="949">
        <v>35042600</v>
      </c>
      <c r="E260" s="723">
        <f>'План и исполнение'!LI37</f>
        <v>35042600</v>
      </c>
      <c r="F260" s="723">
        <f>'План и исполнение'!LO37</f>
        <v>9063599.5299999993</v>
      </c>
      <c r="G260" s="727">
        <f>D260-E260</f>
        <v>0</v>
      </c>
      <c r="H260" s="288">
        <f t="shared" si="147"/>
        <v>0</v>
      </c>
      <c r="I260" s="288">
        <f t="shared" ref="I260:I266" si="158">IF(G260&lt;0,1,0)</f>
        <v>0</v>
      </c>
    </row>
    <row r="261" spans="1:10" x14ac:dyDescent="0.25">
      <c r="A261" s="724"/>
      <c r="B261" s="728" t="s">
        <v>146</v>
      </c>
      <c r="C261" s="729"/>
      <c r="D261" s="727"/>
      <c r="E261" s="727"/>
      <c r="F261" s="727"/>
      <c r="G261" s="727">
        <f>D261-E261</f>
        <v>0</v>
      </c>
      <c r="H261" s="288">
        <f t="shared" si="147"/>
        <v>0</v>
      </c>
      <c r="I261" s="288">
        <f t="shared" si="158"/>
        <v>0</v>
      </c>
    </row>
    <row r="262" spans="1:10" x14ac:dyDescent="0.25">
      <c r="A262" s="724"/>
      <c r="B262" s="728" t="s">
        <v>147</v>
      </c>
      <c r="C262" s="729"/>
      <c r="D262" s="727"/>
      <c r="E262" s="727"/>
      <c r="F262" s="727"/>
      <c r="G262" s="727">
        <f>D262-E262</f>
        <v>0</v>
      </c>
      <c r="H262" s="288">
        <f t="shared" si="147"/>
        <v>0</v>
      </c>
      <c r="I262" s="288">
        <f t="shared" si="158"/>
        <v>0</v>
      </c>
      <c r="J262" s="1406"/>
    </row>
    <row r="263" spans="1:10" x14ac:dyDescent="0.25">
      <c r="A263" s="724"/>
      <c r="B263" s="728" t="s">
        <v>326</v>
      </c>
      <c r="C263" s="729"/>
      <c r="D263" s="727">
        <f>D260-D261-D262</f>
        <v>35042600</v>
      </c>
      <c r="E263" s="727">
        <f t="shared" ref="E263:F263" si="159">E260-E261-E262</f>
        <v>35042600</v>
      </c>
      <c r="F263" s="727">
        <f t="shared" si="159"/>
        <v>9063599.5299999993</v>
      </c>
      <c r="G263" s="727">
        <f>D263-E263</f>
        <v>0</v>
      </c>
      <c r="H263" s="288">
        <f t="shared" si="147"/>
        <v>0</v>
      </c>
      <c r="I263" s="288">
        <f t="shared" si="158"/>
        <v>0</v>
      </c>
      <c r="J263" s="1406"/>
    </row>
    <row r="264" spans="1:10" ht="105.6" x14ac:dyDescent="0.25">
      <c r="A264" s="1147"/>
      <c r="B264" s="480" t="s">
        <v>475</v>
      </c>
      <c r="C264" s="144" t="s">
        <v>471</v>
      </c>
      <c r="D264" s="283">
        <v>7439226</v>
      </c>
      <c r="E264" s="200">
        <f>'План и исполнение'!EZ37</f>
        <v>7439226</v>
      </c>
      <c r="F264" s="200">
        <f>'План и исполнение'!FC37</f>
        <v>815929.06</v>
      </c>
      <c r="G264" s="284">
        <f t="shared" ref="G264:G267" si="160">D264-E264</f>
        <v>0</v>
      </c>
      <c r="H264" s="288">
        <f>IF(F264&gt;E264,1,0)</f>
        <v>0</v>
      </c>
      <c r="I264" s="288">
        <f t="shared" si="158"/>
        <v>0</v>
      </c>
      <c r="J264" s="1404">
        <f>D264+D268</f>
        <v>148784526</v>
      </c>
    </row>
    <row r="265" spans="1:10" x14ac:dyDescent="0.25">
      <c r="A265" s="388"/>
      <c r="B265" s="389" t="s">
        <v>146</v>
      </c>
      <c r="C265" s="390"/>
      <c r="D265" s="392"/>
      <c r="E265" s="392"/>
      <c r="F265" s="392"/>
      <c r="G265" s="392">
        <f t="shared" si="160"/>
        <v>0</v>
      </c>
      <c r="H265" s="288">
        <f>IF(F265&gt;E265,1,0)</f>
        <v>0</v>
      </c>
      <c r="I265" s="288">
        <f t="shared" si="158"/>
        <v>0</v>
      </c>
    </row>
    <row r="266" spans="1:10" x14ac:dyDescent="0.25">
      <c r="A266" s="388"/>
      <c r="B266" s="389" t="s">
        <v>147</v>
      </c>
      <c r="C266" s="390"/>
      <c r="D266" s="392"/>
      <c r="E266" s="392"/>
      <c r="F266" s="392"/>
      <c r="G266" s="392">
        <f t="shared" si="160"/>
        <v>0</v>
      </c>
      <c r="H266" s="288">
        <f>IF(F266&gt;E266,1,0)</f>
        <v>0</v>
      </c>
      <c r="I266" s="288">
        <f t="shared" si="158"/>
        <v>0</v>
      </c>
    </row>
    <row r="267" spans="1:10" x14ac:dyDescent="0.25">
      <c r="A267" s="388"/>
      <c r="B267" s="389" t="s">
        <v>326</v>
      </c>
      <c r="C267" s="390"/>
      <c r="D267" s="392">
        <f>D264-D265-D266</f>
        <v>7439226</v>
      </c>
      <c r="E267" s="392">
        <f t="shared" ref="E267:F267" si="161">E264-E265-E266</f>
        <v>7439226</v>
      </c>
      <c r="F267" s="392">
        <f t="shared" si="161"/>
        <v>815929.06</v>
      </c>
      <c r="G267" s="392">
        <f t="shared" si="160"/>
        <v>0</v>
      </c>
      <c r="H267" s="288"/>
      <c r="I267" s="288"/>
    </row>
    <row r="268" spans="1:10" x14ac:dyDescent="0.25">
      <c r="A268" s="724"/>
      <c r="B268" s="725" t="s">
        <v>58</v>
      </c>
      <c r="C268" s="711" t="s">
        <v>471</v>
      </c>
      <c r="D268" s="949">
        <v>141345300</v>
      </c>
      <c r="E268" s="723">
        <f>'План и исполнение'!FA37</f>
        <v>141345300</v>
      </c>
      <c r="F268" s="723">
        <f>'План и исполнение'!FD37</f>
        <v>15502652.77</v>
      </c>
      <c r="G268" s="727">
        <f>D268-E268</f>
        <v>0</v>
      </c>
      <c r="H268" s="288">
        <f t="shared" ref="H268:H270" si="162">IF(F268&gt;E268,1,0)</f>
        <v>0</v>
      </c>
      <c r="I268" s="288">
        <f>IF(G268&lt;0,1,0)</f>
        <v>0</v>
      </c>
    </row>
    <row r="269" spans="1:10" x14ac:dyDescent="0.25">
      <c r="A269" s="724"/>
      <c r="B269" s="728" t="s">
        <v>146</v>
      </c>
      <c r="C269" s="729"/>
      <c r="D269" s="727"/>
      <c r="E269" s="727"/>
      <c r="F269" s="727"/>
      <c r="G269" s="727">
        <f>D269-E269</f>
        <v>0</v>
      </c>
      <c r="H269" s="288">
        <f t="shared" si="162"/>
        <v>0</v>
      </c>
      <c r="I269" s="288">
        <f>IF(G269&lt;0,1,0)</f>
        <v>0</v>
      </c>
    </row>
    <row r="270" spans="1:10" x14ac:dyDescent="0.25">
      <c r="A270" s="724"/>
      <c r="B270" s="728" t="s">
        <v>147</v>
      </c>
      <c r="C270" s="729"/>
      <c r="D270" s="727"/>
      <c r="E270" s="727"/>
      <c r="F270" s="727"/>
      <c r="G270" s="727">
        <f>D270-E270</f>
        <v>0</v>
      </c>
      <c r="H270" s="288">
        <f t="shared" si="162"/>
        <v>0</v>
      </c>
      <c r="I270" s="288">
        <f>IF(G270&lt;0,1,0)</f>
        <v>0</v>
      </c>
      <c r="J270" s="1406"/>
    </row>
    <row r="271" spans="1:10" x14ac:dyDescent="0.25">
      <c r="A271" s="724"/>
      <c r="B271" s="728" t="s">
        <v>326</v>
      </c>
      <c r="C271" s="729"/>
      <c r="D271" s="727">
        <f>D268-D269-D270</f>
        <v>141345300</v>
      </c>
      <c r="E271" s="727">
        <f t="shared" ref="E271:F271" si="163">E268-E269-E270</f>
        <v>141345300</v>
      </c>
      <c r="F271" s="727">
        <f t="shared" si="163"/>
        <v>15502652.77</v>
      </c>
      <c r="G271" s="727">
        <f>D271-E271</f>
        <v>0</v>
      </c>
      <c r="H271" s="288"/>
      <c r="I271" s="288"/>
      <c r="J271" s="1406"/>
    </row>
    <row r="272" spans="1:10" ht="92.4" x14ac:dyDescent="0.25">
      <c r="A272" s="193"/>
      <c r="B272" s="480" t="s">
        <v>426</v>
      </c>
      <c r="C272" s="144" t="s">
        <v>424</v>
      </c>
      <c r="D272" s="283">
        <f>101631400+28464526.23+46</f>
        <v>130095972.23</v>
      </c>
      <c r="E272" s="200">
        <f>'План и исполнение'!LF37</f>
        <v>130095926.23</v>
      </c>
      <c r="F272" s="200">
        <f>'План и исполнение'!LL37</f>
        <v>130095926.23</v>
      </c>
      <c r="G272" s="284">
        <f t="shared" si="155"/>
        <v>46</v>
      </c>
      <c r="H272" s="288">
        <f t="shared" ref="H272:H278" si="164">IF(F272&gt;E272,1,0)</f>
        <v>0</v>
      </c>
      <c r="I272" s="288">
        <f t="shared" si="69"/>
        <v>0</v>
      </c>
      <c r="J272" s="1404">
        <f>D272+D276</f>
        <v>464628472.23000002</v>
      </c>
    </row>
    <row r="273" spans="1:10" x14ac:dyDescent="0.25">
      <c r="A273" s="388"/>
      <c r="B273" s="389" t="s">
        <v>146</v>
      </c>
      <c r="C273" s="390"/>
      <c r="D273" s="392"/>
      <c r="E273" s="392"/>
      <c r="F273" s="392"/>
      <c r="G273" s="392">
        <f t="shared" si="155"/>
        <v>0</v>
      </c>
      <c r="H273" s="288">
        <f t="shared" si="164"/>
        <v>0</v>
      </c>
      <c r="I273" s="288">
        <f t="shared" si="69"/>
        <v>0</v>
      </c>
    </row>
    <row r="274" spans="1:10" x14ac:dyDescent="0.25">
      <c r="A274" s="388"/>
      <c r="B274" s="389" t="s">
        <v>147</v>
      </c>
      <c r="C274" s="390"/>
      <c r="D274" s="392"/>
      <c r="E274" s="392"/>
      <c r="F274" s="392"/>
      <c r="G274" s="392">
        <f t="shared" si="155"/>
        <v>0</v>
      </c>
      <c r="H274" s="288">
        <f t="shared" si="164"/>
        <v>0</v>
      </c>
      <c r="I274" s="288">
        <f t="shared" si="69"/>
        <v>0</v>
      </c>
    </row>
    <row r="275" spans="1:10" x14ac:dyDescent="0.25">
      <c r="A275" s="388"/>
      <c r="B275" s="389" t="s">
        <v>326</v>
      </c>
      <c r="C275" s="390"/>
      <c r="D275" s="392">
        <f>D272-D273-D274</f>
        <v>130095972.23</v>
      </c>
      <c r="E275" s="392">
        <f t="shared" ref="E275:F275" si="165">E272-E273-E274</f>
        <v>130095926.23</v>
      </c>
      <c r="F275" s="392">
        <f t="shared" si="165"/>
        <v>130095926.23</v>
      </c>
      <c r="G275" s="392">
        <f t="shared" si="155"/>
        <v>46</v>
      </c>
      <c r="H275" s="288"/>
      <c r="I275" s="288"/>
    </row>
    <row r="276" spans="1:10" x14ac:dyDescent="0.25">
      <c r="A276" s="724"/>
      <c r="B276" s="725" t="s">
        <v>58</v>
      </c>
      <c r="C276" s="711" t="s">
        <v>424</v>
      </c>
      <c r="D276" s="949">
        <f>261338000+73194500</f>
        <v>334532500</v>
      </c>
      <c r="E276" s="723">
        <f>'План и исполнение'!LG37</f>
        <v>334532500</v>
      </c>
      <c r="F276" s="723">
        <f>'План и исполнение'!LM37</f>
        <v>334532500</v>
      </c>
      <c r="G276" s="727">
        <f>D276-E276</f>
        <v>0</v>
      </c>
      <c r="H276" s="288">
        <f t="shared" si="164"/>
        <v>0</v>
      </c>
      <c r="I276" s="288">
        <f>IF(G276&lt;0,1,0)</f>
        <v>0</v>
      </c>
    </row>
    <row r="277" spans="1:10" x14ac:dyDescent="0.25">
      <c r="A277" s="724"/>
      <c r="B277" s="728" t="s">
        <v>146</v>
      </c>
      <c r="C277" s="729"/>
      <c r="D277" s="727"/>
      <c r="E277" s="727"/>
      <c r="F277" s="727"/>
      <c r="G277" s="727">
        <f>D277-E277</f>
        <v>0</v>
      </c>
      <c r="H277" s="288">
        <f t="shared" si="164"/>
        <v>0</v>
      </c>
      <c r="I277" s="288">
        <f>IF(G277&lt;0,1,0)</f>
        <v>0</v>
      </c>
    </row>
    <row r="278" spans="1:10" x14ac:dyDescent="0.25">
      <c r="A278" s="724"/>
      <c r="B278" s="728" t="s">
        <v>147</v>
      </c>
      <c r="C278" s="729"/>
      <c r="D278" s="727"/>
      <c r="E278" s="727"/>
      <c r="F278" s="727"/>
      <c r="G278" s="727">
        <f>D278-E278</f>
        <v>0</v>
      </c>
      <c r="H278" s="288">
        <f t="shared" si="164"/>
        <v>0</v>
      </c>
      <c r="I278" s="288">
        <f>IF(G278&lt;0,1,0)</f>
        <v>0</v>
      </c>
      <c r="J278" s="1406"/>
    </row>
    <row r="279" spans="1:10" x14ac:dyDescent="0.25">
      <c r="A279" s="724"/>
      <c r="B279" s="728" t="s">
        <v>326</v>
      </c>
      <c r="C279" s="729"/>
      <c r="D279" s="727">
        <f>D276-D277-D278</f>
        <v>334532500</v>
      </c>
      <c r="E279" s="727">
        <f t="shared" ref="E279:F279" si="166">E276-E277-E278</f>
        <v>334532500</v>
      </c>
      <c r="F279" s="727">
        <f t="shared" si="166"/>
        <v>334532500</v>
      </c>
      <c r="G279" s="727">
        <f>D279-E279</f>
        <v>0</v>
      </c>
      <c r="H279" s="288"/>
      <c r="I279" s="288"/>
      <c r="J279" s="1406"/>
    </row>
    <row r="280" spans="1:10" ht="145.19999999999999" hidden="1" x14ac:dyDescent="0.25">
      <c r="A280" s="1274"/>
      <c r="B280" s="482" t="s">
        <v>794</v>
      </c>
      <c r="C280" s="144" t="s">
        <v>793</v>
      </c>
      <c r="D280" s="283">
        <v>0</v>
      </c>
      <c r="E280" s="502">
        <f>'План и исполнение'!LJ37</f>
        <v>0</v>
      </c>
      <c r="F280" s="502">
        <f>'План и исполнение'!LP37</f>
        <v>0</v>
      </c>
      <c r="G280" s="284">
        <f>D280-E280</f>
        <v>0</v>
      </c>
      <c r="H280" s="288">
        <f t="shared" ref="H280" si="167">IF(F280&gt;E280,1,0)</f>
        <v>0</v>
      </c>
      <c r="I280" s="288">
        <f t="shared" ref="I280" si="168">IF(G280&lt;0,1,0)</f>
        <v>0</v>
      </c>
      <c r="J280" s="1406"/>
    </row>
    <row r="281" spans="1:10" hidden="1" x14ac:dyDescent="0.25">
      <c r="A281" s="388"/>
      <c r="B281" s="389" t="s">
        <v>146</v>
      </c>
      <c r="C281" s="390"/>
      <c r="D281" s="392"/>
      <c r="E281" s="392"/>
      <c r="F281" s="392"/>
      <c r="G281" s="392"/>
      <c r="H281" s="288">
        <f t="shared" ref="H281:H283" si="169">IF(F281&gt;E281,1,0)</f>
        <v>0</v>
      </c>
      <c r="I281" s="288">
        <f t="shared" ref="I281:I283" si="170">IF(G281&lt;0,1,0)</f>
        <v>0</v>
      </c>
      <c r="J281" s="1406"/>
    </row>
    <row r="282" spans="1:10" hidden="1" x14ac:dyDescent="0.25">
      <c r="A282" s="388"/>
      <c r="B282" s="389" t="s">
        <v>561</v>
      </c>
      <c r="C282" s="390"/>
      <c r="D282" s="392"/>
      <c r="E282" s="392"/>
      <c r="F282" s="392"/>
      <c r="G282" s="392"/>
      <c r="H282" s="288">
        <f t="shared" si="169"/>
        <v>0</v>
      </c>
      <c r="I282" s="288">
        <f t="shared" si="170"/>
        <v>0</v>
      </c>
      <c r="J282" s="1406"/>
    </row>
    <row r="283" spans="1:10" hidden="1" x14ac:dyDescent="0.25">
      <c r="A283" s="388"/>
      <c r="B283" s="389" t="s">
        <v>326</v>
      </c>
      <c r="C283" s="390"/>
      <c r="D283" s="460">
        <f>D280-D281-D282</f>
        <v>0</v>
      </c>
      <c r="E283" s="460">
        <f t="shared" ref="E283:G283" si="171">E280-E281-E282</f>
        <v>0</v>
      </c>
      <c r="F283" s="460">
        <f t="shared" si="171"/>
        <v>0</v>
      </c>
      <c r="G283" s="460">
        <f t="shared" si="171"/>
        <v>0</v>
      </c>
      <c r="H283" s="288">
        <f t="shared" si="169"/>
        <v>0</v>
      </c>
      <c r="I283" s="288">
        <f t="shared" si="170"/>
        <v>0</v>
      </c>
      <c r="J283" s="1406"/>
    </row>
    <row r="284" spans="1:10" ht="105.6" x14ac:dyDescent="0.25">
      <c r="A284" s="249"/>
      <c r="B284" s="482" t="s">
        <v>574</v>
      </c>
      <c r="C284" s="144" t="s">
        <v>573</v>
      </c>
      <c r="D284" s="283">
        <f>27369735.5-14501842.07</f>
        <v>12867893.43</v>
      </c>
      <c r="E284" s="200">
        <f>'План и исполнение'!DH37</f>
        <v>12867893.43</v>
      </c>
      <c r="F284" s="200">
        <f>'План и исполнение'!DK37</f>
        <v>2784056.3</v>
      </c>
      <c r="G284" s="284">
        <f t="shared" ref="G284:G289" si="172">D284-E284</f>
        <v>0</v>
      </c>
      <c r="H284" s="288">
        <f t="shared" ref="H284:H289" si="173">IF(F284&gt;E284,1,0)</f>
        <v>0</v>
      </c>
      <c r="I284" s="288">
        <f t="shared" ref="I284:I289" si="174">IF(G284&lt;0,1,0)</f>
        <v>0</v>
      </c>
      <c r="J284" s="1404">
        <f>D284+D287</f>
        <v>624092893.42999995</v>
      </c>
    </row>
    <row r="285" spans="1:10" x14ac:dyDescent="0.25">
      <c r="A285" s="388"/>
      <c r="B285" s="389" t="s">
        <v>146</v>
      </c>
      <c r="C285" s="390"/>
      <c r="D285" s="392"/>
      <c r="E285" s="392"/>
      <c r="F285" s="392"/>
      <c r="G285" s="392">
        <f t="shared" si="172"/>
        <v>0</v>
      </c>
      <c r="H285" s="288">
        <f t="shared" si="173"/>
        <v>0</v>
      </c>
      <c r="I285" s="288">
        <f t="shared" si="174"/>
        <v>0</v>
      </c>
    </row>
    <row r="286" spans="1:10" x14ac:dyDescent="0.25">
      <c r="A286" s="388"/>
      <c r="B286" s="389" t="s">
        <v>147</v>
      </c>
      <c r="C286" s="390"/>
      <c r="D286" s="392">
        <f>D284-D285</f>
        <v>12867893.43</v>
      </c>
      <c r="E286" s="392">
        <f>E284-E285</f>
        <v>12867893.43</v>
      </c>
      <c r="F286" s="392">
        <f>F284-F285</f>
        <v>2784056.3</v>
      </c>
      <c r="G286" s="392">
        <f t="shared" si="172"/>
        <v>0</v>
      </c>
      <c r="H286" s="288">
        <f t="shared" si="173"/>
        <v>0</v>
      </c>
      <c r="I286" s="288">
        <f t="shared" si="174"/>
        <v>0</v>
      </c>
    </row>
    <row r="287" spans="1:10" x14ac:dyDescent="0.25">
      <c r="A287" s="724"/>
      <c r="B287" s="725" t="s">
        <v>58</v>
      </c>
      <c r="C287" s="711" t="s">
        <v>573</v>
      </c>
      <c r="D287" s="726">
        <v>611225000</v>
      </c>
      <c r="E287" s="723">
        <f>'План и исполнение'!DI37</f>
        <v>611225000</v>
      </c>
      <c r="F287" s="723">
        <f>'План и исполнение'!DL37</f>
        <v>132242687.39</v>
      </c>
      <c r="G287" s="727">
        <f t="shared" si="172"/>
        <v>0</v>
      </c>
      <c r="H287" s="288">
        <f t="shared" si="173"/>
        <v>0</v>
      </c>
      <c r="I287" s="288">
        <f t="shared" si="174"/>
        <v>0</v>
      </c>
    </row>
    <row r="288" spans="1:10" x14ac:dyDescent="0.25">
      <c r="A288" s="724"/>
      <c r="B288" s="728" t="s">
        <v>146</v>
      </c>
      <c r="C288" s="729"/>
      <c r="D288" s="727"/>
      <c r="E288" s="727"/>
      <c r="F288" s="727"/>
      <c r="G288" s="727">
        <f t="shared" si="172"/>
        <v>0</v>
      </c>
      <c r="H288" s="288">
        <f t="shared" si="173"/>
        <v>0</v>
      </c>
      <c r="I288" s="288">
        <f t="shared" si="174"/>
        <v>0</v>
      </c>
    </row>
    <row r="289" spans="1:10" x14ac:dyDescent="0.25">
      <c r="A289" s="724"/>
      <c r="B289" s="728" t="s">
        <v>147</v>
      </c>
      <c r="C289" s="729"/>
      <c r="D289" s="727">
        <f>D287-D288</f>
        <v>611225000</v>
      </c>
      <c r="E289" s="727">
        <f>E287-E288</f>
        <v>611225000</v>
      </c>
      <c r="F289" s="727">
        <f>F287-F288</f>
        <v>132242687.39</v>
      </c>
      <c r="G289" s="727">
        <f t="shared" si="172"/>
        <v>0</v>
      </c>
      <c r="H289" s="288">
        <f t="shared" si="173"/>
        <v>0</v>
      </c>
      <c r="I289" s="288">
        <f t="shared" si="174"/>
        <v>0</v>
      </c>
      <c r="J289" s="1406"/>
    </row>
    <row r="290" spans="1:10" ht="171.6" x14ac:dyDescent="0.25">
      <c r="A290" s="193"/>
      <c r="B290" s="482" t="s">
        <v>223</v>
      </c>
      <c r="C290" s="144" t="s">
        <v>199</v>
      </c>
      <c r="D290" s="283">
        <v>223658996.88999999</v>
      </c>
      <c r="E290" s="1564">
        <f>D290-16718649</f>
        <v>206940347.88999999</v>
      </c>
      <c r="F290" s="393">
        <v>19424986.98</v>
      </c>
      <c r="G290" s="284">
        <f>D290-E290</f>
        <v>16718649</v>
      </c>
      <c r="H290" s="288">
        <f t="shared" ref="H290:H331" si="175">IF(F290&gt;E290,1,0)</f>
        <v>0</v>
      </c>
      <c r="I290" s="288">
        <f t="shared" ref="I290:I382" si="176">IF(G290&lt;0,1,0)</f>
        <v>0</v>
      </c>
    </row>
    <row r="291" spans="1:10" x14ac:dyDescent="0.25">
      <c r="A291" s="388"/>
      <c r="B291" s="389" t="s">
        <v>146</v>
      </c>
      <c r="C291" s="390"/>
      <c r="D291" s="392">
        <f>D290-D292</f>
        <v>181734660.19999999</v>
      </c>
      <c r="E291" s="392">
        <f>E290-E292</f>
        <v>165016011.19999999</v>
      </c>
      <c r="F291" s="392">
        <f>F290-F292</f>
        <v>19424986.98</v>
      </c>
      <c r="G291" s="392">
        <f>G290-G292</f>
        <v>16718649</v>
      </c>
      <c r="H291" s="288">
        <f t="shared" si="175"/>
        <v>0</v>
      </c>
      <c r="I291" s="288">
        <f t="shared" si="176"/>
        <v>0</v>
      </c>
    </row>
    <row r="292" spans="1:10" x14ac:dyDescent="0.25">
      <c r="A292" s="388"/>
      <c r="B292" s="389" t="s">
        <v>147</v>
      </c>
      <c r="C292" s="390"/>
      <c r="D292" s="391">
        <v>41924336.689999998</v>
      </c>
      <c r="E292" s="460">
        <f>D292</f>
        <v>41924336.689999998</v>
      </c>
      <c r="F292" s="391"/>
      <c r="G292" s="392">
        <f>D292-E292</f>
        <v>0</v>
      </c>
      <c r="H292" s="288">
        <f t="shared" si="175"/>
        <v>0</v>
      </c>
      <c r="I292" s="288">
        <f t="shared" si="176"/>
        <v>0</v>
      </c>
    </row>
    <row r="293" spans="1:10" x14ac:dyDescent="0.25">
      <c r="A293" s="193"/>
      <c r="B293" s="484"/>
      <c r="C293" s="189"/>
      <c r="D293" s="285"/>
      <c r="E293" s="187"/>
      <c r="F293" s="187"/>
      <c r="G293" s="284"/>
      <c r="H293" s="288">
        <f t="shared" si="175"/>
        <v>0</v>
      </c>
      <c r="I293" s="288">
        <f t="shared" si="176"/>
        <v>0</v>
      </c>
    </row>
    <row r="294" spans="1:10" x14ac:dyDescent="0.25">
      <c r="A294" s="185" t="s">
        <v>278</v>
      </c>
      <c r="B294" s="251" t="s">
        <v>279</v>
      </c>
      <c r="C294" s="191"/>
      <c r="D294" s="286">
        <f>D307+D299+D303</f>
        <v>69930184</v>
      </c>
      <c r="E294" s="286">
        <f t="shared" ref="E294:G294" si="177">E307+E299+E303</f>
        <v>69930184</v>
      </c>
      <c r="F294" s="286">
        <f t="shared" si="177"/>
        <v>10570569.720000001</v>
      </c>
      <c r="G294" s="286">
        <f t="shared" si="177"/>
        <v>0</v>
      </c>
      <c r="H294" s="288">
        <f t="shared" ref="H294:H309" si="178">IF(F294&gt;E294,1,0)</f>
        <v>0</v>
      </c>
      <c r="I294" s="288">
        <f t="shared" ref="I294:I309" si="179">IF(G294&lt;0,1,0)</f>
        <v>0</v>
      </c>
    </row>
    <row r="295" spans="1:10" x14ac:dyDescent="0.25">
      <c r="A295" s="381"/>
      <c r="B295" s="382" t="s">
        <v>146</v>
      </c>
      <c r="C295" s="383"/>
      <c r="D295" s="511">
        <f>D308+D300+D304</f>
        <v>26004584</v>
      </c>
      <c r="E295" s="511">
        <f t="shared" ref="E295:G296" si="180">E308+E300+E304</f>
        <v>26004584</v>
      </c>
      <c r="F295" s="511">
        <f t="shared" si="180"/>
        <v>10570569.720000001</v>
      </c>
      <c r="G295" s="511">
        <f t="shared" si="180"/>
        <v>0</v>
      </c>
      <c r="H295" s="288">
        <f t="shared" si="178"/>
        <v>0</v>
      </c>
      <c r="I295" s="288">
        <f t="shared" si="179"/>
        <v>0</v>
      </c>
    </row>
    <row r="296" spans="1:10" x14ac:dyDescent="0.25">
      <c r="A296" s="381"/>
      <c r="B296" s="382" t="s">
        <v>147</v>
      </c>
      <c r="C296" s="383"/>
      <c r="D296" s="511">
        <f>D309+D301+D305</f>
        <v>0</v>
      </c>
      <c r="E296" s="511">
        <f t="shared" si="180"/>
        <v>0</v>
      </c>
      <c r="F296" s="511">
        <f t="shared" si="180"/>
        <v>0</v>
      </c>
      <c r="G296" s="511">
        <f t="shared" si="180"/>
        <v>0</v>
      </c>
      <c r="H296" s="288">
        <f t="shared" si="178"/>
        <v>0</v>
      </c>
      <c r="I296" s="288">
        <f t="shared" si="179"/>
        <v>0</v>
      </c>
    </row>
    <row r="297" spans="1:10" x14ac:dyDescent="0.25">
      <c r="A297" s="381"/>
      <c r="B297" s="382" t="s">
        <v>326</v>
      </c>
      <c r="C297" s="383"/>
      <c r="D297" s="511">
        <f>D294-D295-D296</f>
        <v>43925600</v>
      </c>
      <c r="E297" s="511">
        <f t="shared" ref="E297:G297" si="181">E294-E295-E296</f>
        <v>43925600</v>
      </c>
      <c r="F297" s="511">
        <f t="shared" si="181"/>
        <v>0</v>
      </c>
      <c r="G297" s="511">
        <f t="shared" si="181"/>
        <v>0</v>
      </c>
      <c r="H297" s="288">
        <f t="shared" ref="H297" si="182">IF(F297&gt;E297,1,0)</f>
        <v>0</v>
      </c>
      <c r="I297" s="288">
        <f t="shared" ref="I297" si="183">IF(G297&lt;0,1,0)</f>
        <v>0</v>
      </c>
      <c r="J297" s="1593"/>
    </row>
    <row r="298" spans="1:10" x14ac:dyDescent="0.25">
      <c r="A298" s="193"/>
      <c r="B298" s="481" t="s">
        <v>38</v>
      </c>
      <c r="C298" s="189"/>
      <c r="D298" s="285"/>
      <c r="E298" s="187"/>
      <c r="F298" s="187"/>
      <c r="G298" s="284"/>
      <c r="H298" s="288">
        <f t="shared" si="178"/>
        <v>0</v>
      </c>
      <c r="I298" s="288">
        <f t="shared" si="179"/>
        <v>0</v>
      </c>
    </row>
    <row r="299" spans="1:10" ht="105.6" x14ac:dyDescent="0.25">
      <c r="A299" s="249"/>
      <c r="B299" s="482" t="s">
        <v>884</v>
      </c>
      <c r="C299" s="144" t="s">
        <v>883</v>
      </c>
      <c r="D299" s="283">
        <f>12299200</f>
        <v>12299200</v>
      </c>
      <c r="E299" s="200">
        <f>'План и исполнение'!IB37</f>
        <v>12299200</v>
      </c>
      <c r="F299" s="200">
        <f>'План и исполнение'!IE37</f>
        <v>0</v>
      </c>
      <c r="G299" s="284">
        <f t="shared" ref="G299:G303" si="184">D299-E299</f>
        <v>0</v>
      </c>
      <c r="H299" s="288">
        <f t="shared" si="178"/>
        <v>0</v>
      </c>
      <c r="I299" s="288">
        <f t="shared" si="179"/>
        <v>0</v>
      </c>
      <c r="J299" s="1404">
        <f>D299+D303</f>
        <v>43925600</v>
      </c>
    </row>
    <row r="300" spans="1:10" x14ac:dyDescent="0.25">
      <c r="A300" s="388"/>
      <c r="B300" s="389" t="s">
        <v>146</v>
      </c>
      <c r="C300" s="390"/>
      <c r="D300" s="392"/>
      <c r="E300" s="392"/>
      <c r="F300" s="392"/>
      <c r="G300" s="392"/>
      <c r="H300" s="288">
        <f t="shared" si="178"/>
        <v>0</v>
      </c>
      <c r="I300" s="288">
        <f t="shared" si="179"/>
        <v>0</v>
      </c>
      <c r="J300" s="1592"/>
    </row>
    <row r="301" spans="1:10" x14ac:dyDescent="0.25">
      <c r="A301" s="388"/>
      <c r="B301" s="389" t="s">
        <v>147</v>
      </c>
      <c r="C301" s="390"/>
      <c r="D301" s="392"/>
      <c r="E301" s="392"/>
      <c r="F301" s="392"/>
      <c r="G301" s="392"/>
      <c r="H301" s="288">
        <f t="shared" si="178"/>
        <v>0</v>
      </c>
      <c r="I301" s="288">
        <f t="shared" si="179"/>
        <v>0</v>
      </c>
      <c r="J301" s="1592"/>
    </row>
    <row r="302" spans="1:10" x14ac:dyDescent="0.25">
      <c r="A302" s="388"/>
      <c r="B302" s="389" t="s">
        <v>326</v>
      </c>
      <c r="C302" s="390"/>
      <c r="D302" s="392">
        <f>D299</f>
        <v>12299200</v>
      </c>
      <c r="E302" s="392">
        <f t="shared" ref="E302:G302" si="185">E299</f>
        <v>12299200</v>
      </c>
      <c r="F302" s="392">
        <f t="shared" si="185"/>
        <v>0</v>
      </c>
      <c r="G302" s="392">
        <f t="shared" si="185"/>
        <v>0</v>
      </c>
      <c r="H302" s="288">
        <f t="shared" ref="H302" si="186">IF(F302&gt;E302,1,0)</f>
        <v>0</v>
      </c>
      <c r="I302" s="288">
        <f t="shared" ref="I302" si="187">IF(G302&lt;0,1,0)</f>
        <v>0</v>
      </c>
      <c r="J302" s="1593"/>
    </row>
    <row r="303" spans="1:10" x14ac:dyDescent="0.25">
      <c r="A303" s="724"/>
      <c r="B303" s="725" t="s">
        <v>58</v>
      </c>
      <c r="C303" s="711" t="s">
        <v>883</v>
      </c>
      <c r="D303" s="726">
        <f>31626400</f>
        <v>31626400</v>
      </c>
      <c r="E303" s="723">
        <f>'План и исполнение'!IC37</f>
        <v>31626400</v>
      </c>
      <c r="F303" s="723">
        <f>'План и исполнение'!IF37</f>
        <v>0</v>
      </c>
      <c r="G303" s="727">
        <f t="shared" si="184"/>
        <v>0</v>
      </c>
      <c r="H303" s="288">
        <f t="shared" si="178"/>
        <v>0</v>
      </c>
      <c r="I303" s="288">
        <f t="shared" si="179"/>
        <v>0</v>
      </c>
      <c r="J303" s="1592"/>
    </row>
    <row r="304" spans="1:10" x14ac:dyDescent="0.25">
      <c r="A304" s="724"/>
      <c r="B304" s="728" t="s">
        <v>146</v>
      </c>
      <c r="C304" s="729"/>
      <c r="D304" s="727"/>
      <c r="E304" s="727"/>
      <c r="F304" s="727"/>
      <c r="G304" s="727"/>
      <c r="H304" s="288">
        <f t="shared" si="178"/>
        <v>0</v>
      </c>
      <c r="I304" s="288">
        <f t="shared" si="179"/>
        <v>0</v>
      </c>
      <c r="J304" s="1592"/>
    </row>
    <row r="305" spans="1:10" x14ac:dyDescent="0.25">
      <c r="A305" s="724"/>
      <c r="B305" s="728" t="s">
        <v>147</v>
      </c>
      <c r="C305" s="729"/>
      <c r="D305" s="727"/>
      <c r="E305" s="727"/>
      <c r="F305" s="727"/>
      <c r="G305" s="727"/>
      <c r="H305" s="288">
        <f t="shared" si="178"/>
        <v>0</v>
      </c>
      <c r="I305" s="288">
        <f t="shared" si="179"/>
        <v>0</v>
      </c>
      <c r="J305" s="1406"/>
    </row>
    <row r="306" spans="1:10" x14ac:dyDescent="0.25">
      <c r="A306" s="724"/>
      <c r="B306" s="728" t="s">
        <v>326</v>
      </c>
      <c r="C306" s="729"/>
      <c r="D306" s="727">
        <f>D303</f>
        <v>31626400</v>
      </c>
      <c r="E306" s="727">
        <f t="shared" ref="E306:G306" si="188">E303</f>
        <v>31626400</v>
      </c>
      <c r="F306" s="727">
        <f t="shared" si="188"/>
        <v>0</v>
      </c>
      <c r="G306" s="727">
        <f t="shared" si="188"/>
        <v>0</v>
      </c>
      <c r="H306" s="288">
        <f t="shared" ref="H306" si="189">IF(F306&gt;E306,1,0)</f>
        <v>0</v>
      </c>
      <c r="I306" s="288">
        <f t="shared" ref="I306" si="190">IF(G306&lt;0,1,0)</f>
        <v>0</v>
      </c>
      <c r="J306" s="1406"/>
    </row>
    <row r="307" spans="1:10" ht="171.6" x14ac:dyDescent="0.25">
      <c r="A307" s="193"/>
      <c r="B307" s="482" t="s">
        <v>223</v>
      </c>
      <c r="C307" s="144" t="s">
        <v>199</v>
      </c>
      <c r="D307" s="283">
        <v>26004584</v>
      </c>
      <c r="E307" s="502">
        <f>D307</f>
        <v>26004584</v>
      </c>
      <c r="F307" s="393">
        <v>10570569.720000001</v>
      </c>
      <c r="G307" s="284">
        <f t="shared" ref="G307:G309" si="191">D307-E307</f>
        <v>0</v>
      </c>
      <c r="H307" s="288">
        <f t="shared" si="178"/>
        <v>0</v>
      </c>
      <c r="I307" s="288">
        <f t="shared" si="179"/>
        <v>0</v>
      </c>
    </row>
    <row r="308" spans="1:10" x14ac:dyDescent="0.25">
      <c r="A308" s="388"/>
      <c r="B308" s="389" t="s">
        <v>146</v>
      </c>
      <c r="C308" s="390"/>
      <c r="D308" s="392">
        <f>D307-D309</f>
        <v>26004584</v>
      </c>
      <c r="E308" s="392">
        <f t="shared" ref="E308:F308" si="192">E307-E309</f>
        <v>26004584</v>
      </c>
      <c r="F308" s="392">
        <f t="shared" si="192"/>
        <v>10570569.720000001</v>
      </c>
      <c r="G308" s="392">
        <f t="shared" si="191"/>
        <v>0</v>
      </c>
      <c r="H308" s="288">
        <f t="shared" si="178"/>
        <v>0</v>
      </c>
      <c r="I308" s="288">
        <f t="shared" si="179"/>
        <v>0</v>
      </c>
    </row>
    <row r="309" spans="1:10" x14ac:dyDescent="0.25">
      <c r="A309" s="388"/>
      <c r="B309" s="389" t="s">
        <v>147</v>
      </c>
      <c r="C309" s="390"/>
      <c r="D309" s="391"/>
      <c r="E309" s="460">
        <f>D309</f>
        <v>0</v>
      </c>
      <c r="F309" s="391"/>
      <c r="G309" s="392">
        <f t="shared" si="191"/>
        <v>0</v>
      </c>
      <c r="H309" s="288">
        <f t="shared" si="178"/>
        <v>0</v>
      </c>
      <c r="I309" s="288">
        <f t="shared" si="179"/>
        <v>0</v>
      </c>
    </row>
    <row r="310" spans="1:10" x14ac:dyDescent="0.25">
      <c r="A310" s="193"/>
      <c r="B310" s="484"/>
      <c r="C310" s="189"/>
      <c r="D310" s="285"/>
      <c r="E310" s="187"/>
      <c r="F310" s="187"/>
      <c r="G310" s="284"/>
      <c r="H310" s="288">
        <f>IF(F310&gt;E310,1,0)</f>
        <v>0</v>
      </c>
      <c r="I310" s="288">
        <f>IF(G310&lt;0,1,0)</f>
        <v>0</v>
      </c>
    </row>
    <row r="311" spans="1:10" x14ac:dyDescent="0.25">
      <c r="A311" s="185" t="s">
        <v>46</v>
      </c>
      <c r="B311" s="251" t="s">
        <v>111</v>
      </c>
      <c r="C311" s="191"/>
      <c r="D311" s="286">
        <f t="shared" ref="D311:G313" si="193">D315+D321+D318</f>
        <v>35300000</v>
      </c>
      <c r="E311" s="286">
        <f t="shared" si="193"/>
        <v>35300000</v>
      </c>
      <c r="F311" s="286">
        <f t="shared" si="193"/>
        <v>5874402.2000000002</v>
      </c>
      <c r="G311" s="286">
        <f t="shared" si="193"/>
        <v>0</v>
      </c>
      <c r="H311" s="288">
        <f t="shared" si="175"/>
        <v>0</v>
      </c>
      <c r="I311" s="288">
        <f t="shared" si="176"/>
        <v>0</v>
      </c>
    </row>
    <row r="312" spans="1:10" x14ac:dyDescent="0.25">
      <c r="A312" s="381"/>
      <c r="B312" s="382" t="s">
        <v>146</v>
      </c>
      <c r="C312" s="383"/>
      <c r="D312" s="511">
        <f t="shared" si="193"/>
        <v>35300000</v>
      </c>
      <c r="E312" s="511">
        <f t="shared" si="193"/>
        <v>35300000</v>
      </c>
      <c r="F312" s="511">
        <f t="shared" si="193"/>
        <v>5874402.2000000002</v>
      </c>
      <c r="G312" s="511">
        <f t="shared" si="193"/>
        <v>0</v>
      </c>
      <c r="H312" s="288">
        <f t="shared" si="175"/>
        <v>0</v>
      </c>
      <c r="I312" s="288">
        <f t="shared" si="176"/>
        <v>0</v>
      </c>
    </row>
    <row r="313" spans="1:10" x14ac:dyDescent="0.25">
      <c r="A313" s="381"/>
      <c r="B313" s="382" t="s">
        <v>147</v>
      </c>
      <c r="C313" s="383"/>
      <c r="D313" s="511">
        <f t="shared" si="193"/>
        <v>0</v>
      </c>
      <c r="E313" s="511">
        <f t="shared" si="193"/>
        <v>0</v>
      </c>
      <c r="F313" s="511">
        <f t="shared" si="193"/>
        <v>0</v>
      </c>
      <c r="G313" s="511">
        <f t="shared" si="193"/>
        <v>0</v>
      </c>
      <c r="H313" s="288">
        <f t="shared" si="175"/>
        <v>0</v>
      </c>
      <c r="I313" s="288">
        <f t="shared" si="176"/>
        <v>0</v>
      </c>
    </row>
    <row r="314" spans="1:10" x14ac:dyDescent="0.25">
      <c r="A314" s="193"/>
      <c r="B314" s="481" t="s">
        <v>38</v>
      </c>
      <c r="C314" s="189"/>
      <c r="D314" s="285"/>
      <c r="E314" s="187"/>
      <c r="F314" s="187"/>
      <c r="G314" s="284"/>
      <c r="H314" s="288">
        <f t="shared" si="175"/>
        <v>0</v>
      </c>
      <c r="I314" s="288">
        <f t="shared" si="176"/>
        <v>0</v>
      </c>
    </row>
    <row r="315" spans="1:10" ht="118.8" x14ac:dyDescent="0.25">
      <c r="A315" s="193"/>
      <c r="B315" s="480" t="s">
        <v>620</v>
      </c>
      <c r="C315" s="144" t="s">
        <v>547</v>
      </c>
      <c r="D315" s="283">
        <v>2500000</v>
      </c>
      <c r="E315" s="200">
        <f>'Прочая  субсидия_МР  и  ГО'!J33</f>
        <v>2500000</v>
      </c>
      <c r="F315" s="200">
        <f>'Прочая  субсидия_МР  и  ГО'!K33</f>
        <v>2500000</v>
      </c>
      <c r="G315" s="284">
        <f t="shared" ref="G315:G323" si="194">D315-E315</f>
        <v>0</v>
      </c>
      <c r="H315" s="288">
        <f t="shared" si="175"/>
        <v>0</v>
      </c>
      <c r="I315" s="288">
        <f t="shared" si="176"/>
        <v>0</v>
      </c>
    </row>
    <row r="316" spans="1:10" x14ac:dyDescent="0.25">
      <c r="A316" s="388"/>
      <c r="B316" s="389" t="s">
        <v>146</v>
      </c>
      <c r="C316" s="390"/>
      <c r="D316" s="392">
        <f>D315</f>
        <v>2500000</v>
      </c>
      <c r="E316" s="392">
        <f>E315</f>
        <v>2500000</v>
      </c>
      <c r="F316" s="392">
        <f>F315</f>
        <v>2500000</v>
      </c>
      <c r="G316" s="392">
        <f t="shared" si="194"/>
        <v>0</v>
      </c>
      <c r="H316" s="288">
        <f t="shared" si="175"/>
        <v>0</v>
      </c>
      <c r="I316" s="288">
        <f t="shared" si="176"/>
        <v>0</v>
      </c>
    </row>
    <row r="317" spans="1:10" x14ac:dyDescent="0.25">
      <c r="A317" s="388"/>
      <c r="B317" s="389" t="s">
        <v>147</v>
      </c>
      <c r="C317" s="390"/>
      <c r="D317" s="392"/>
      <c r="E317" s="392"/>
      <c r="F317" s="392"/>
      <c r="G317" s="392">
        <f t="shared" si="194"/>
        <v>0</v>
      </c>
      <c r="H317" s="288">
        <f t="shared" si="175"/>
        <v>0</v>
      </c>
      <c r="I317" s="288">
        <f t="shared" si="176"/>
        <v>0</v>
      </c>
    </row>
    <row r="318" spans="1:10" ht="118.8" x14ac:dyDescent="0.25">
      <c r="A318" s="193"/>
      <c r="B318" s="480" t="s">
        <v>406</v>
      </c>
      <c r="C318" s="144" t="s">
        <v>311</v>
      </c>
      <c r="D318" s="283">
        <v>32800000</v>
      </c>
      <c r="E318" s="200">
        <f>'Прочая  субсидия_МР  и  ГО'!L38</f>
        <v>32800000</v>
      </c>
      <c r="F318" s="200">
        <f>'Прочая  субсидия_МР  и  ГО'!M38</f>
        <v>3374402.2</v>
      </c>
      <c r="G318" s="284">
        <f>D318-E318</f>
        <v>0</v>
      </c>
      <c r="H318" s="288">
        <f>IF(F318&gt;E318,1,0)</f>
        <v>0</v>
      </c>
      <c r="I318" s="288">
        <f>IF(G318&lt;0,1,0)</f>
        <v>0</v>
      </c>
    </row>
    <row r="319" spans="1:10" x14ac:dyDescent="0.25">
      <c r="A319" s="388"/>
      <c r="B319" s="389" t="s">
        <v>146</v>
      </c>
      <c r="C319" s="390"/>
      <c r="D319" s="392">
        <f>D318</f>
        <v>32800000</v>
      </c>
      <c r="E319" s="392">
        <f t="shared" ref="E319:F319" si="195">E318</f>
        <v>32800000</v>
      </c>
      <c r="F319" s="392">
        <f t="shared" si="195"/>
        <v>3374402.2</v>
      </c>
      <c r="G319" s="392">
        <f>D319-E319</f>
        <v>0</v>
      </c>
      <c r="H319" s="288">
        <f>IF(F319&gt;E319,1,0)</f>
        <v>0</v>
      </c>
      <c r="I319" s="288">
        <f>IF(G319&lt;0,1,0)</f>
        <v>0</v>
      </c>
    </row>
    <row r="320" spans="1:10" x14ac:dyDescent="0.25">
      <c r="A320" s="388"/>
      <c r="B320" s="389" t="s">
        <v>147</v>
      </c>
      <c r="C320" s="390"/>
      <c r="D320" s="392"/>
      <c r="E320" s="392"/>
      <c r="F320" s="392"/>
      <c r="G320" s="392">
        <f>D320-E320</f>
        <v>0</v>
      </c>
      <c r="H320" s="288">
        <f>IF(F320&gt;E320,1,0)</f>
        <v>0</v>
      </c>
      <c r="I320" s="288">
        <f>IF(G320&lt;0,1,0)</f>
        <v>0</v>
      </c>
    </row>
    <row r="321" spans="1:9" ht="171.6" hidden="1" x14ac:dyDescent="0.25">
      <c r="A321" s="1274"/>
      <c r="B321" s="482" t="s">
        <v>223</v>
      </c>
      <c r="C321" s="144" t="s">
        <v>199</v>
      </c>
      <c r="D321" s="283"/>
      <c r="E321" s="502">
        <f>D321</f>
        <v>0</v>
      </c>
      <c r="F321" s="393"/>
      <c r="G321" s="284">
        <f t="shared" si="194"/>
        <v>0</v>
      </c>
      <c r="H321" s="288">
        <f t="shared" si="175"/>
        <v>0</v>
      </c>
      <c r="I321" s="288">
        <f t="shared" si="176"/>
        <v>0</v>
      </c>
    </row>
    <row r="322" spans="1:9" hidden="1" x14ac:dyDescent="0.25">
      <c r="A322" s="388"/>
      <c r="B322" s="389" t="s">
        <v>146</v>
      </c>
      <c r="C322" s="390"/>
      <c r="D322" s="392">
        <f>D321</f>
        <v>0</v>
      </c>
      <c r="E322" s="392">
        <f>E321</f>
        <v>0</v>
      </c>
      <c r="F322" s="392">
        <f>F321</f>
        <v>0</v>
      </c>
      <c r="G322" s="392">
        <f t="shared" si="194"/>
        <v>0</v>
      </c>
      <c r="H322" s="288">
        <f t="shared" si="175"/>
        <v>0</v>
      </c>
      <c r="I322" s="288">
        <f t="shared" si="176"/>
        <v>0</v>
      </c>
    </row>
    <row r="323" spans="1:9" hidden="1" x14ac:dyDescent="0.25">
      <c r="A323" s="388"/>
      <c r="B323" s="389" t="s">
        <v>147</v>
      </c>
      <c r="C323" s="390"/>
      <c r="D323" s="392">
        <f>D321-D322</f>
        <v>0</v>
      </c>
      <c r="E323" s="392">
        <f>E321-E322</f>
        <v>0</v>
      </c>
      <c r="F323" s="392">
        <f>F321-F322</f>
        <v>0</v>
      </c>
      <c r="G323" s="392">
        <f t="shared" si="194"/>
        <v>0</v>
      </c>
      <c r="H323" s="288">
        <f t="shared" si="175"/>
        <v>0</v>
      </c>
      <c r="I323" s="288">
        <f t="shared" si="176"/>
        <v>0</v>
      </c>
    </row>
    <row r="324" spans="1:9" x14ac:dyDescent="0.25">
      <c r="A324" s="193"/>
      <c r="B324" s="484"/>
      <c r="C324" s="189"/>
      <c r="D324" s="285"/>
      <c r="E324" s="187"/>
      <c r="F324" s="187"/>
      <c r="G324" s="284"/>
      <c r="H324" s="288">
        <f t="shared" si="175"/>
        <v>0</v>
      </c>
      <c r="I324" s="288">
        <f t="shared" si="176"/>
        <v>0</v>
      </c>
    </row>
    <row r="325" spans="1:9" x14ac:dyDescent="0.25">
      <c r="A325" s="185" t="s">
        <v>33</v>
      </c>
      <c r="B325" s="251" t="s">
        <v>34</v>
      </c>
      <c r="C325" s="191"/>
      <c r="D325" s="843">
        <f>D362+D365+D332+D338+D344+D341+D347+D350+D329+D353+D356+D359+D335</f>
        <v>217284190.95000002</v>
      </c>
      <c r="E325" s="843">
        <f t="shared" ref="E325:G325" si="196">E362+E365+E332+E338+E344+E341+E347+E350+E329+E353+E356+E359+E335</f>
        <v>217284190.95000002</v>
      </c>
      <c r="F325" s="843">
        <f t="shared" si="196"/>
        <v>63308758.830000006</v>
      </c>
      <c r="G325" s="843">
        <f t="shared" si="196"/>
        <v>0</v>
      </c>
      <c r="H325" s="288">
        <f t="shared" si="175"/>
        <v>0</v>
      </c>
      <c r="I325" s="288">
        <f t="shared" si="176"/>
        <v>0</v>
      </c>
    </row>
    <row r="326" spans="1:9" x14ac:dyDescent="0.25">
      <c r="A326" s="381"/>
      <c r="B326" s="382" t="s">
        <v>146</v>
      </c>
      <c r="C326" s="383"/>
      <c r="D326" s="511">
        <f>D363+D366+D333+D339+D345+D342+D348+D351+D330+D354+D357+D360+D336</f>
        <v>90604684</v>
      </c>
      <c r="E326" s="511">
        <f t="shared" ref="E326:G326" si="197">E363+E366+E333+E339+E345+E342+E348+E351+E330+E354+E357+E360+E336</f>
        <v>90604684</v>
      </c>
      <c r="F326" s="511">
        <f t="shared" si="197"/>
        <v>34802260.890000001</v>
      </c>
      <c r="G326" s="511">
        <f t="shared" si="197"/>
        <v>0</v>
      </c>
      <c r="H326" s="288">
        <f t="shared" si="175"/>
        <v>0</v>
      </c>
      <c r="I326" s="288">
        <f t="shared" si="176"/>
        <v>0</v>
      </c>
    </row>
    <row r="327" spans="1:9" x14ac:dyDescent="0.25">
      <c r="A327" s="381"/>
      <c r="B327" s="382" t="s">
        <v>147</v>
      </c>
      <c r="C327" s="383"/>
      <c r="D327" s="511">
        <f>D364+D367+D334+D340+D346+D343+D349+D352+D331+D355+D358+D361+D337</f>
        <v>126679506.95</v>
      </c>
      <c r="E327" s="511">
        <f t="shared" ref="E327:G327" si="198">E364+E367+E334+E340+E346+E343+E349+E352+E331+E355+E358+E361+E337</f>
        <v>126679506.95</v>
      </c>
      <c r="F327" s="511">
        <f t="shared" si="198"/>
        <v>28506497.940000001</v>
      </c>
      <c r="G327" s="511">
        <f t="shared" si="198"/>
        <v>0</v>
      </c>
      <c r="H327" s="288">
        <f t="shared" si="175"/>
        <v>0</v>
      </c>
      <c r="I327" s="288">
        <f t="shared" si="176"/>
        <v>0</v>
      </c>
    </row>
    <row r="328" spans="1:9" x14ac:dyDescent="0.25">
      <c r="A328" s="193"/>
      <c r="B328" s="481" t="s">
        <v>38</v>
      </c>
      <c r="C328" s="189"/>
      <c r="D328" s="285"/>
      <c r="E328" s="285"/>
      <c r="F328" s="285"/>
      <c r="G328" s="285"/>
      <c r="H328" s="288">
        <f t="shared" si="175"/>
        <v>0</v>
      </c>
      <c r="I328" s="288">
        <f t="shared" si="176"/>
        <v>0</v>
      </c>
    </row>
    <row r="329" spans="1:9" ht="145.19999999999999" x14ac:dyDescent="0.25">
      <c r="A329" s="249"/>
      <c r="B329" s="486" t="s">
        <v>315</v>
      </c>
      <c r="C329" s="144" t="s">
        <v>300</v>
      </c>
      <c r="D329" s="283">
        <v>1201777</v>
      </c>
      <c r="E329" s="200">
        <f>'План и исполнение'!DT37</f>
        <v>1201777</v>
      </c>
      <c r="F329" s="200">
        <f>'План и исполнение'!EB37</f>
        <v>1201777</v>
      </c>
      <c r="G329" s="284">
        <f>D329-E329</f>
        <v>0</v>
      </c>
      <c r="H329" s="288">
        <f t="shared" si="175"/>
        <v>0</v>
      </c>
      <c r="I329" s="288">
        <f t="shared" si="176"/>
        <v>0</v>
      </c>
    </row>
    <row r="330" spans="1:9" x14ac:dyDescent="0.25">
      <c r="A330" s="388"/>
      <c r="B330" s="389" t="s">
        <v>146</v>
      </c>
      <c r="C330" s="390"/>
      <c r="D330" s="392">
        <f>D329</f>
        <v>1201777</v>
      </c>
      <c r="E330" s="392">
        <f>E329</f>
        <v>1201777</v>
      </c>
      <c r="F330" s="392">
        <f>F329</f>
        <v>1201777</v>
      </c>
      <c r="G330" s="392">
        <f>D330-E330</f>
        <v>0</v>
      </c>
      <c r="H330" s="288">
        <f t="shared" si="175"/>
        <v>0</v>
      </c>
      <c r="I330" s="288">
        <f t="shared" si="176"/>
        <v>0</v>
      </c>
    </row>
    <row r="331" spans="1:9" x14ac:dyDescent="0.25">
      <c r="A331" s="388"/>
      <c r="B331" s="389" t="s">
        <v>147</v>
      </c>
      <c r="C331" s="390"/>
      <c r="D331" s="392"/>
      <c r="E331" s="392"/>
      <c r="F331" s="392"/>
      <c r="G331" s="392">
        <f>D331-E331</f>
        <v>0</v>
      </c>
      <c r="H331" s="288">
        <f t="shared" si="175"/>
        <v>0</v>
      </c>
      <c r="I331" s="288">
        <f t="shared" si="176"/>
        <v>0</v>
      </c>
    </row>
    <row r="332" spans="1:9" ht="105.6" x14ac:dyDescent="0.25">
      <c r="A332" s="193"/>
      <c r="B332" s="486" t="s">
        <v>245</v>
      </c>
      <c r="C332" s="144" t="s">
        <v>244</v>
      </c>
      <c r="D332" s="283">
        <f>85241982.76+10778876.52-32341352.33</f>
        <v>63679506.950000003</v>
      </c>
      <c r="E332" s="200">
        <f>'План и исполнение'!AL38</f>
        <v>63679506.950000003</v>
      </c>
      <c r="F332" s="200">
        <f>'План и исполнение'!AQ38</f>
        <v>23548313.280000001</v>
      </c>
      <c r="G332" s="284">
        <f>D332-E332</f>
        <v>0</v>
      </c>
      <c r="H332" s="288">
        <f t="shared" ref="H332:H343" si="199">IF(F332&gt;E332,1,0)</f>
        <v>0</v>
      </c>
      <c r="I332" s="288">
        <f>IF(G332&lt;0,1,0)</f>
        <v>0</v>
      </c>
    </row>
    <row r="333" spans="1:9" x14ac:dyDescent="0.25">
      <c r="A333" s="388"/>
      <c r="B333" s="389" t="s">
        <v>146</v>
      </c>
      <c r="C333" s="390"/>
      <c r="D333" s="392"/>
      <c r="E333" s="392"/>
      <c r="F333" s="392"/>
      <c r="G333" s="392">
        <v>0</v>
      </c>
      <c r="H333" s="288">
        <f t="shared" si="199"/>
        <v>0</v>
      </c>
      <c r="I333" s="288">
        <f>IF(G333&lt;0,1,0)</f>
        <v>0</v>
      </c>
    </row>
    <row r="334" spans="1:9" x14ac:dyDescent="0.25">
      <c r="A334" s="388"/>
      <c r="B334" s="389" t="s">
        <v>147</v>
      </c>
      <c r="C334" s="652"/>
      <c r="D334" s="392">
        <f>D332-D333</f>
        <v>63679506.950000003</v>
      </c>
      <c r="E334" s="392">
        <f>E332-E333</f>
        <v>63679506.950000003</v>
      </c>
      <c r="F334" s="392">
        <f>F332-F333</f>
        <v>23548313.280000001</v>
      </c>
      <c r="G334" s="392">
        <f>D334-E334</f>
        <v>0</v>
      </c>
      <c r="H334" s="288">
        <f t="shared" si="199"/>
        <v>0</v>
      </c>
      <c r="I334" s="288">
        <f>IF(G334&lt;0,1,0)</f>
        <v>0</v>
      </c>
    </row>
    <row r="335" spans="1:9" ht="132" x14ac:dyDescent="0.25">
      <c r="A335" s="1273"/>
      <c r="B335" s="486" t="s">
        <v>619</v>
      </c>
      <c r="C335" s="144" t="s">
        <v>618</v>
      </c>
      <c r="D335" s="283">
        <v>3000000</v>
      </c>
      <c r="E335" s="200">
        <f>'Прочая  субсидия_МР  и  ГО'!N38</f>
        <v>2999999.9999999995</v>
      </c>
      <c r="F335" s="200">
        <f>'Прочая  субсидия_МР  и  ГО'!O38</f>
        <v>2999999.9999999995</v>
      </c>
      <c r="G335" s="284">
        <f>D335-E335</f>
        <v>0</v>
      </c>
      <c r="H335" s="288">
        <f t="shared" ref="H335:H337" si="200">IF(F335&gt;E335,1,0)</f>
        <v>0</v>
      </c>
      <c r="I335" s="288">
        <f t="shared" ref="I335:I337" si="201">IF(G335&lt;0,1,0)</f>
        <v>0</v>
      </c>
    </row>
    <row r="336" spans="1:9" x14ac:dyDescent="0.25">
      <c r="A336" s="388"/>
      <c r="B336" s="389" t="s">
        <v>146</v>
      </c>
      <c r="C336" s="390"/>
      <c r="D336" s="392">
        <f>D335</f>
        <v>3000000</v>
      </c>
      <c r="E336" s="392">
        <f t="shared" ref="E336:F336" si="202">E335</f>
        <v>2999999.9999999995</v>
      </c>
      <c r="F336" s="392">
        <f t="shared" si="202"/>
        <v>2999999.9999999995</v>
      </c>
      <c r="G336" s="392">
        <f>D336-E336</f>
        <v>0</v>
      </c>
      <c r="H336" s="288">
        <f t="shared" si="200"/>
        <v>0</v>
      </c>
      <c r="I336" s="288">
        <f t="shared" si="201"/>
        <v>0</v>
      </c>
    </row>
    <row r="337" spans="1:17" x14ac:dyDescent="0.25">
      <c r="A337" s="388"/>
      <c r="B337" s="389" t="s">
        <v>147</v>
      </c>
      <c r="C337" s="652"/>
      <c r="D337" s="392"/>
      <c r="E337" s="392"/>
      <c r="F337" s="392"/>
      <c r="G337" s="392">
        <f>D337-E337</f>
        <v>0</v>
      </c>
      <c r="H337" s="288">
        <f t="shared" si="200"/>
        <v>0</v>
      </c>
      <c r="I337" s="288">
        <f t="shared" si="201"/>
        <v>0</v>
      </c>
    </row>
    <row r="338" spans="1:17" ht="158.4" x14ac:dyDescent="0.25">
      <c r="A338" s="193"/>
      <c r="B338" s="847" t="s">
        <v>246</v>
      </c>
      <c r="C338" s="144" t="s">
        <v>247</v>
      </c>
      <c r="D338" s="651">
        <v>200000</v>
      </c>
      <c r="E338" s="200">
        <f>'План и исполнение'!JT38</f>
        <v>200000</v>
      </c>
      <c r="F338" s="200">
        <f>'План и исполнение'!JY38</f>
        <v>0</v>
      </c>
      <c r="G338" s="284">
        <f>D338-E338</f>
        <v>0</v>
      </c>
      <c r="H338" s="288">
        <f t="shared" si="199"/>
        <v>0</v>
      </c>
      <c r="I338" s="288">
        <f t="shared" ref="I338:I343" si="203">IF(G338&lt;0,1,0)</f>
        <v>0</v>
      </c>
      <c r="J338" s="1404">
        <f>D338+D341</f>
        <v>427600</v>
      </c>
    </row>
    <row r="339" spans="1:17" x14ac:dyDescent="0.25">
      <c r="A339" s="388"/>
      <c r="B339" s="389" t="s">
        <v>146</v>
      </c>
      <c r="C339" s="653"/>
      <c r="D339" s="392">
        <f>D338</f>
        <v>200000</v>
      </c>
      <c r="E339" s="392">
        <f>E338</f>
        <v>200000</v>
      </c>
      <c r="F339" s="392">
        <f>F338</f>
        <v>0</v>
      </c>
      <c r="G339" s="392">
        <f>G338</f>
        <v>0</v>
      </c>
      <c r="H339" s="288">
        <f t="shared" si="199"/>
        <v>0</v>
      </c>
      <c r="I339" s="288">
        <f t="shared" si="203"/>
        <v>0</v>
      </c>
    </row>
    <row r="340" spans="1:17" x14ac:dyDescent="0.25">
      <c r="A340" s="388"/>
      <c r="B340" s="389" t="s">
        <v>147</v>
      </c>
      <c r="C340" s="390"/>
      <c r="D340" s="392"/>
      <c r="E340" s="392"/>
      <c r="F340" s="392"/>
      <c r="G340" s="392">
        <f>D340-E340</f>
        <v>0</v>
      </c>
      <c r="H340" s="288">
        <f t="shared" si="199"/>
        <v>0</v>
      </c>
      <c r="I340" s="288">
        <f t="shared" si="203"/>
        <v>0</v>
      </c>
    </row>
    <row r="341" spans="1:17" x14ac:dyDescent="0.25">
      <c r="A341" s="724"/>
      <c r="B341" s="725" t="s">
        <v>58</v>
      </c>
      <c r="C341" s="711" t="s">
        <v>247</v>
      </c>
      <c r="D341" s="726">
        <v>227600</v>
      </c>
      <c r="E341" s="723">
        <f>'План и исполнение'!JU38</f>
        <v>227600</v>
      </c>
      <c r="F341" s="723">
        <f>'План и исполнение'!JZ38</f>
        <v>0</v>
      </c>
      <c r="G341" s="727">
        <f>D341-E341</f>
        <v>0</v>
      </c>
      <c r="H341" s="288">
        <f t="shared" si="199"/>
        <v>0</v>
      </c>
      <c r="I341" s="288">
        <f t="shared" si="203"/>
        <v>0</v>
      </c>
    </row>
    <row r="342" spans="1:17" x14ac:dyDescent="0.25">
      <c r="A342" s="724"/>
      <c r="B342" s="728" t="s">
        <v>146</v>
      </c>
      <c r="C342" s="729"/>
      <c r="D342" s="727">
        <f>D341</f>
        <v>227600</v>
      </c>
      <c r="E342" s="727">
        <f>E341</f>
        <v>227600</v>
      </c>
      <c r="F342" s="727">
        <f>F341</f>
        <v>0</v>
      </c>
      <c r="G342" s="727">
        <f>G341</f>
        <v>0</v>
      </c>
      <c r="H342" s="288">
        <f t="shared" si="199"/>
        <v>0</v>
      </c>
      <c r="I342" s="288">
        <f t="shared" si="203"/>
        <v>0</v>
      </c>
    </row>
    <row r="343" spans="1:17" x14ac:dyDescent="0.25">
      <c r="A343" s="724"/>
      <c r="B343" s="728" t="s">
        <v>147</v>
      </c>
      <c r="C343" s="729"/>
      <c r="D343" s="727"/>
      <c r="E343" s="727"/>
      <c r="F343" s="727"/>
      <c r="G343" s="727">
        <f>D343-E343</f>
        <v>0</v>
      </c>
      <c r="H343" s="288">
        <f t="shared" si="199"/>
        <v>0</v>
      </c>
      <c r="I343" s="288">
        <f t="shared" si="203"/>
        <v>0</v>
      </c>
    </row>
    <row r="344" spans="1:17" ht="118.8" x14ac:dyDescent="0.25">
      <c r="A344" s="193"/>
      <c r="B344" s="847" t="s">
        <v>292</v>
      </c>
      <c r="C344" s="144" t="s">
        <v>304</v>
      </c>
      <c r="D344" s="651">
        <f>7330100+0.01</f>
        <v>7330100.0099999998</v>
      </c>
      <c r="E344" s="200">
        <f>'План и исполнение'!IN38</f>
        <v>7330100.0100000007</v>
      </c>
      <c r="F344" s="200">
        <f>'План и исполнение'!IQ38</f>
        <v>5183159.4600000009</v>
      </c>
      <c r="G344" s="284">
        <f>D344-E344</f>
        <v>0</v>
      </c>
      <c r="H344" s="288">
        <f t="shared" ref="H344:H349" si="204">IF(F344&gt;E344,1,0)</f>
        <v>0</v>
      </c>
      <c r="I344" s="288">
        <f t="shared" ref="I344:I349" si="205">IF(G344&lt;0,1,0)</f>
        <v>0</v>
      </c>
      <c r="J344" s="1407">
        <f>D344+D347</f>
        <v>26178800</v>
      </c>
    </row>
    <row r="345" spans="1:17" x14ac:dyDescent="0.25">
      <c r="A345" s="388"/>
      <c r="B345" s="389" t="s">
        <v>146</v>
      </c>
      <c r="C345" s="653"/>
      <c r="D345" s="392">
        <f>D344</f>
        <v>7330100.0099999998</v>
      </c>
      <c r="E345" s="392">
        <f>E344</f>
        <v>7330100.0100000007</v>
      </c>
      <c r="F345" s="392">
        <f>F344</f>
        <v>5183159.4600000009</v>
      </c>
      <c r="G345" s="392">
        <f>G344</f>
        <v>0</v>
      </c>
      <c r="H345" s="288">
        <f t="shared" si="204"/>
        <v>0</v>
      </c>
      <c r="I345" s="288">
        <f t="shared" si="205"/>
        <v>0</v>
      </c>
      <c r="J345" s="1408"/>
    </row>
    <row r="346" spans="1:17" x14ac:dyDescent="0.25">
      <c r="A346" s="388"/>
      <c r="B346" s="389" t="s">
        <v>147</v>
      </c>
      <c r="C346" s="390"/>
      <c r="D346" s="392"/>
      <c r="E346" s="392"/>
      <c r="F346" s="392"/>
      <c r="G346" s="392">
        <f>D346-E346</f>
        <v>0</v>
      </c>
      <c r="H346" s="288">
        <f t="shared" si="204"/>
        <v>0</v>
      </c>
      <c r="I346" s="288">
        <f t="shared" si="205"/>
        <v>0</v>
      </c>
      <c r="J346" s="1405"/>
    </row>
    <row r="347" spans="1:17" x14ac:dyDescent="0.25">
      <c r="A347" s="724"/>
      <c r="B347" s="725" t="s">
        <v>58</v>
      </c>
      <c r="C347" s="711" t="s">
        <v>304</v>
      </c>
      <c r="D347" s="726">
        <f>18848700-0.01</f>
        <v>18848699.989999998</v>
      </c>
      <c r="E347" s="723">
        <f>'План и исполнение'!IO38</f>
        <v>18848699.990000002</v>
      </c>
      <c r="F347" s="723">
        <f>'План и исполнение'!IR38</f>
        <v>13328033.360000003</v>
      </c>
      <c r="G347" s="727">
        <f>D347-E347</f>
        <v>0</v>
      </c>
      <c r="H347" s="288">
        <f t="shared" si="204"/>
        <v>0</v>
      </c>
      <c r="I347" s="288">
        <f t="shared" si="205"/>
        <v>0</v>
      </c>
      <c r="J347" s="1409"/>
    </row>
    <row r="348" spans="1:17" x14ac:dyDescent="0.25">
      <c r="A348" s="724"/>
      <c r="B348" s="728" t="s">
        <v>146</v>
      </c>
      <c r="C348" s="729"/>
      <c r="D348" s="727">
        <f>D347</f>
        <v>18848699.989999998</v>
      </c>
      <c r="E348" s="727">
        <f>E347</f>
        <v>18848699.990000002</v>
      </c>
      <c r="F348" s="727">
        <f>F347</f>
        <v>13328033.360000003</v>
      </c>
      <c r="G348" s="727">
        <f>G347</f>
        <v>0</v>
      </c>
      <c r="H348" s="288">
        <f t="shared" si="204"/>
        <v>0</v>
      </c>
      <c r="I348" s="288">
        <f t="shared" si="205"/>
        <v>0</v>
      </c>
      <c r="J348" s="1405"/>
    </row>
    <row r="349" spans="1:17" x14ac:dyDescent="0.25">
      <c r="A349" s="724"/>
      <c r="B349" s="728" t="s">
        <v>147</v>
      </c>
      <c r="C349" s="729"/>
      <c r="D349" s="727"/>
      <c r="E349" s="727"/>
      <c r="F349" s="727"/>
      <c r="G349" s="727">
        <f>D349-E349</f>
        <v>0</v>
      </c>
      <c r="H349" s="288">
        <f t="shared" si="204"/>
        <v>0</v>
      </c>
      <c r="I349" s="288">
        <f t="shared" si="205"/>
        <v>0</v>
      </c>
      <c r="J349" s="1405"/>
      <c r="K349" s="846"/>
      <c r="L349" s="846"/>
      <c r="M349" s="846"/>
      <c r="N349" s="846"/>
      <c r="O349" s="846"/>
      <c r="P349" s="846"/>
      <c r="Q349" s="846"/>
    </row>
    <row r="350" spans="1:17" ht="145.19999999999999" x14ac:dyDescent="0.25">
      <c r="A350" s="193"/>
      <c r="B350" s="847" t="s">
        <v>306</v>
      </c>
      <c r="C350" s="144" t="s">
        <v>305</v>
      </c>
      <c r="D350" s="651">
        <v>1588500</v>
      </c>
      <c r="E350" s="200">
        <f>'План и исполнение'!IH37</f>
        <v>1588500</v>
      </c>
      <c r="F350" s="200">
        <f>'План и исполнение'!IK37</f>
        <v>998861.39</v>
      </c>
      <c r="G350" s="284">
        <f>D350-E350</f>
        <v>0</v>
      </c>
      <c r="H350" s="288">
        <f t="shared" ref="H350:H355" si="206">IF(F350&gt;E350,1,0)</f>
        <v>0</v>
      </c>
      <c r="I350" s="288">
        <f t="shared" ref="I350:I355" si="207">IF(G350&lt;0,1,0)</f>
        <v>0</v>
      </c>
      <c r="J350" s="1404">
        <f>D350+D353</f>
        <v>5672500</v>
      </c>
      <c r="K350" s="846"/>
      <c r="L350" s="846"/>
      <c r="M350" s="846"/>
      <c r="N350" s="846"/>
      <c r="O350" s="846"/>
      <c r="P350" s="846"/>
      <c r="Q350" s="846"/>
    </row>
    <row r="351" spans="1:17" x14ac:dyDescent="0.25">
      <c r="A351" s="388"/>
      <c r="B351" s="389" t="s">
        <v>146</v>
      </c>
      <c r="C351" s="653"/>
      <c r="D351" s="392">
        <f>D350</f>
        <v>1588500</v>
      </c>
      <c r="E351" s="392">
        <f>E350</f>
        <v>1588500</v>
      </c>
      <c r="F351" s="392">
        <f>F350</f>
        <v>998861.39</v>
      </c>
      <c r="G351" s="392">
        <f>G350</f>
        <v>0</v>
      </c>
      <c r="H351" s="288">
        <f t="shared" si="206"/>
        <v>0</v>
      </c>
      <c r="I351" s="288">
        <f t="shared" si="207"/>
        <v>0</v>
      </c>
      <c r="K351" s="846"/>
      <c r="L351" s="846"/>
      <c r="M351" s="846"/>
      <c r="N351" s="846"/>
      <c r="O351" s="846"/>
      <c r="P351" s="846"/>
      <c r="Q351" s="846"/>
    </row>
    <row r="352" spans="1:17" x14ac:dyDescent="0.25">
      <c r="A352" s="388"/>
      <c r="B352" s="389" t="s">
        <v>147</v>
      </c>
      <c r="C352" s="390"/>
      <c r="D352" s="392"/>
      <c r="E352" s="392"/>
      <c r="F352" s="392"/>
      <c r="G352" s="392">
        <f>D352-E352</f>
        <v>0</v>
      </c>
      <c r="H352" s="288">
        <f t="shared" si="206"/>
        <v>0</v>
      </c>
      <c r="I352" s="288">
        <f t="shared" si="207"/>
        <v>0</v>
      </c>
      <c r="K352" s="846"/>
      <c r="L352" s="846"/>
      <c r="M352" s="846"/>
      <c r="N352" s="846"/>
      <c r="O352" s="846"/>
      <c r="P352" s="846"/>
      <c r="Q352" s="846"/>
    </row>
    <row r="353" spans="1:17" x14ac:dyDescent="0.25">
      <c r="A353" s="724"/>
      <c r="B353" s="725" t="s">
        <v>58</v>
      </c>
      <c r="C353" s="711" t="s">
        <v>305</v>
      </c>
      <c r="D353" s="726">
        <v>4084000</v>
      </c>
      <c r="E353" s="723">
        <f>'План и исполнение'!II37</f>
        <v>4084000</v>
      </c>
      <c r="F353" s="723">
        <f>'План и исполнение'!IL37</f>
        <v>2568051.58</v>
      </c>
      <c r="G353" s="727">
        <f>D353-E353</f>
        <v>0</v>
      </c>
      <c r="H353" s="288">
        <f t="shared" si="206"/>
        <v>0</v>
      </c>
      <c r="I353" s="288">
        <f t="shared" si="207"/>
        <v>0</v>
      </c>
      <c r="J353" s="1406"/>
      <c r="K353" s="846"/>
      <c r="L353" s="846"/>
      <c r="M353" s="846"/>
      <c r="N353" s="846"/>
      <c r="O353" s="846"/>
      <c r="P353" s="846"/>
      <c r="Q353" s="846"/>
    </row>
    <row r="354" spans="1:17" x14ac:dyDescent="0.25">
      <c r="A354" s="724"/>
      <c r="B354" s="728" t="s">
        <v>146</v>
      </c>
      <c r="C354" s="729"/>
      <c r="D354" s="727">
        <f>D353</f>
        <v>4084000</v>
      </c>
      <c r="E354" s="727">
        <f>E353</f>
        <v>4084000</v>
      </c>
      <c r="F354" s="727">
        <f>F353</f>
        <v>2568051.58</v>
      </c>
      <c r="G354" s="727">
        <f>G353</f>
        <v>0</v>
      </c>
      <c r="H354" s="288">
        <f t="shared" si="206"/>
        <v>0</v>
      </c>
      <c r="I354" s="288">
        <f t="shared" si="207"/>
        <v>0</v>
      </c>
      <c r="K354" s="846"/>
      <c r="L354" s="846"/>
      <c r="M354" s="846"/>
      <c r="N354" s="846"/>
      <c r="O354" s="846"/>
      <c r="P354" s="846"/>
      <c r="Q354" s="846"/>
    </row>
    <row r="355" spans="1:17" x14ac:dyDescent="0.25">
      <c r="A355" s="724"/>
      <c r="B355" s="728" t="s">
        <v>147</v>
      </c>
      <c r="C355" s="729"/>
      <c r="D355" s="727"/>
      <c r="E355" s="727"/>
      <c r="F355" s="727"/>
      <c r="G355" s="727">
        <f>D355-E355</f>
        <v>0</v>
      </c>
      <c r="H355" s="288">
        <f t="shared" si="206"/>
        <v>0</v>
      </c>
      <c r="I355" s="288">
        <f t="shared" si="207"/>
        <v>0</v>
      </c>
      <c r="J355" s="1405"/>
      <c r="K355" s="846"/>
      <c r="L355" s="846"/>
      <c r="M355" s="846"/>
      <c r="N355" s="846"/>
      <c r="O355" s="846"/>
      <c r="P355" s="846"/>
      <c r="Q355" s="846"/>
    </row>
    <row r="356" spans="1:17" ht="237.6" x14ac:dyDescent="0.25">
      <c r="A356" s="1087"/>
      <c r="B356" s="847" t="s">
        <v>436</v>
      </c>
      <c r="C356" s="144" t="s">
        <v>433</v>
      </c>
      <c r="D356" s="651">
        <v>17640000</v>
      </c>
      <c r="E356" s="200">
        <f>'План и исполнение'!JR38</f>
        <v>17640000</v>
      </c>
      <c r="F356" s="200">
        <f>'План и исполнение'!JW38</f>
        <v>1388291.71</v>
      </c>
      <c r="G356" s="284">
        <f>D356-E356</f>
        <v>0</v>
      </c>
      <c r="H356" s="288">
        <f t="shared" ref="H356:H361" si="208">IF(F356&gt;E356,1,0)</f>
        <v>0</v>
      </c>
      <c r="I356" s="288">
        <f t="shared" ref="I356:I361" si="209">IF(G356&lt;0,1,0)</f>
        <v>0</v>
      </c>
      <c r="J356" s="1404">
        <f>D356+D359</f>
        <v>63000000</v>
      </c>
      <c r="K356" s="846"/>
      <c r="L356" s="846"/>
      <c r="M356" s="846"/>
      <c r="N356" s="846"/>
      <c r="O356" s="846"/>
      <c r="P356" s="846"/>
      <c r="Q356" s="846"/>
    </row>
    <row r="357" spans="1:17" x14ac:dyDescent="0.25">
      <c r="A357" s="388"/>
      <c r="B357" s="389" t="s">
        <v>146</v>
      </c>
      <c r="C357" s="653"/>
      <c r="D357" s="392"/>
      <c r="E357" s="392"/>
      <c r="F357" s="392"/>
      <c r="G357" s="392"/>
      <c r="H357" s="288">
        <f t="shared" si="208"/>
        <v>0</v>
      </c>
      <c r="I357" s="288">
        <f t="shared" si="209"/>
        <v>0</v>
      </c>
      <c r="K357" s="846"/>
      <c r="L357" s="846"/>
      <c r="M357" s="846"/>
      <c r="N357" s="846"/>
      <c r="O357" s="846"/>
      <c r="P357" s="846"/>
      <c r="Q357" s="846"/>
    </row>
    <row r="358" spans="1:17" x14ac:dyDescent="0.25">
      <c r="A358" s="388"/>
      <c r="B358" s="389" t="s">
        <v>147</v>
      </c>
      <c r="C358" s="390"/>
      <c r="D358" s="392">
        <f>D356-D357</f>
        <v>17640000</v>
      </c>
      <c r="E358" s="392">
        <f>E356-E357</f>
        <v>17640000</v>
      </c>
      <c r="F358" s="392">
        <f>F356-F357</f>
        <v>1388291.71</v>
      </c>
      <c r="G358" s="392">
        <f>D358-E358</f>
        <v>0</v>
      </c>
      <c r="H358" s="288">
        <f t="shared" si="208"/>
        <v>0</v>
      </c>
      <c r="I358" s="288">
        <f t="shared" si="209"/>
        <v>0</v>
      </c>
      <c r="K358" s="846"/>
      <c r="L358" s="846"/>
      <c r="M358" s="846"/>
      <c r="N358" s="846"/>
      <c r="O358" s="846"/>
      <c r="P358" s="846"/>
      <c r="Q358" s="846"/>
    </row>
    <row r="359" spans="1:17" x14ac:dyDescent="0.25">
      <c r="A359" s="724"/>
      <c r="B359" s="725" t="s">
        <v>58</v>
      </c>
      <c r="C359" s="711" t="s">
        <v>433</v>
      </c>
      <c r="D359" s="726">
        <v>45360000</v>
      </c>
      <c r="E359" s="723">
        <f>'План и исполнение'!JS38</f>
        <v>45360000</v>
      </c>
      <c r="F359" s="723">
        <f>'План и исполнение'!JX38</f>
        <v>3569892.9499999997</v>
      </c>
      <c r="G359" s="727">
        <f>D359-E359</f>
        <v>0</v>
      </c>
      <c r="H359" s="288">
        <f t="shared" si="208"/>
        <v>0</v>
      </c>
      <c r="I359" s="288">
        <f t="shared" si="209"/>
        <v>0</v>
      </c>
      <c r="J359" s="1406"/>
      <c r="K359" s="846"/>
      <c r="L359" s="846"/>
      <c r="M359" s="846"/>
      <c r="N359" s="846"/>
      <c r="O359" s="846"/>
      <c r="P359" s="846"/>
      <c r="Q359" s="846"/>
    </row>
    <row r="360" spans="1:17" x14ac:dyDescent="0.25">
      <c r="A360" s="724"/>
      <c r="B360" s="728" t="s">
        <v>146</v>
      </c>
      <c r="C360" s="729"/>
      <c r="D360" s="727"/>
      <c r="E360" s="727"/>
      <c r="F360" s="727"/>
      <c r="G360" s="727"/>
      <c r="H360" s="288">
        <f t="shared" si="208"/>
        <v>0</v>
      </c>
      <c r="I360" s="288">
        <f t="shared" si="209"/>
        <v>0</v>
      </c>
      <c r="K360" s="846"/>
      <c r="L360" s="846"/>
      <c r="M360" s="846"/>
      <c r="N360" s="846"/>
      <c r="O360" s="846"/>
      <c r="P360" s="846"/>
      <c r="Q360" s="846"/>
    </row>
    <row r="361" spans="1:17" x14ac:dyDescent="0.25">
      <c r="A361" s="724"/>
      <c r="B361" s="728" t="s">
        <v>147</v>
      </c>
      <c r="C361" s="729"/>
      <c r="D361" s="727">
        <f>D359-D360</f>
        <v>45360000</v>
      </c>
      <c r="E361" s="727">
        <f>E359-E360</f>
        <v>45360000</v>
      </c>
      <c r="F361" s="727">
        <f>F359-F360</f>
        <v>3569892.9499999997</v>
      </c>
      <c r="G361" s="727">
        <f>D361-E361</f>
        <v>0</v>
      </c>
      <c r="H361" s="288">
        <f t="shared" si="208"/>
        <v>0</v>
      </c>
      <c r="I361" s="288">
        <f t="shared" si="209"/>
        <v>0</v>
      </c>
      <c r="J361" s="1405"/>
      <c r="K361" s="846"/>
      <c r="L361" s="846"/>
      <c r="M361" s="846"/>
      <c r="N361" s="846"/>
      <c r="O361" s="846"/>
      <c r="P361" s="846"/>
      <c r="Q361" s="846"/>
    </row>
    <row r="362" spans="1:17" ht="158.4" x14ac:dyDescent="0.25">
      <c r="A362" s="193"/>
      <c r="B362" s="486" t="s">
        <v>423</v>
      </c>
      <c r="C362" s="144" t="s">
        <v>422</v>
      </c>
      <c r="D362" s="283">
        <v>300000</v>
      </c>
      <c r="E362" s="187">
        <f>'Прочая  субсидия_МР  и  ГО'!P38</f>
        <v>300000</v>
      </c>
      <c r="F362" s="187">
        <f>'Прочая  субсидия_МР  и  ГО'!Q38</f>
        <v>300000</v>
      </c>
      <c r="G362" s="284">
        <f t="shared" ref="G362:G364" si="210">D362-E362</f>
        <v>0</v>
      </c>
      <c r="H362" s="288">
        <f t="shared" ref="H362:H367" si="211">IF(F362&gt;E362,1,0)</f>
        <v>0</v>
      </c>
      <c r="I362" s="288">
        <f t="shared" si="176"/>
        <v>0</v>
      </c>
    </row>
    <row r="363" spans="1:17" x14ac:dyDescent="0.25">
      <c r="A363" s="388"/>
      <c r="B363" s="389" t="s">
        <v>146</v>
      </c>
      <c r="C363" s="390"/>
      <c r="D363" s="392">
        <f>D362</f>
        <v>300000</v>
      </c>
      <c r="E363" s="392">
        <f>E362</f>
        <v>300000</v>
      </c>
      <c r="F363" s="392">
        <f>F362</f>
        <v>300000</v>
      </c>
      <c r="G363" s="392">
        <f t="shared" si="210"/>
        <v>0</v>
      </c>
      <c r="H363" s="288">
        <f t="shared" si="211"/>
        <v>0</v>
      </c>
      <c r="I363" s="288">
        <f t="shared" si="176"/>
        <v>0</v>
      </c>
    </row>
    <row r="364" spans="1:17" x14ac:dyDescent="0.25">
      <c r="A364" s="388"/>
      <c r="B364" s="389" t="s">
        <v>147</v>
      </c>
      <c r="C364" s="390"/>
      <c r="D364" s="392"/>
      <c r="E364" s="392"/>
      <c r="F364" s="392"/>
      <c r="G364" s="392">
        <f t="shared" si="210"/>
        <v>0</v>
      </c>
      <c r="H364" s="288">
        <f t="shared" si="211"/>
        <v>0</v>
      </c>
      <c r="I364" s="288">
        <f t="shared" si="176"/>
        <v>0</v>
      </c>
    </row>
    <row r="365" spans="1:17" ht="171.6" x14ac:dyDescent="0.25">
      <c r="A365" s="193"/>
      <c r="B365" s="482" t="s">
        <v>223</v>
      </c>
      <c r="C365" s="144" t="s">
        <v>199</v>
      </c>
      <c r="D365" s="283">
        <v>53824007</v>
      </c>
      <c r="E365" s="454">
        <f>D365</f>
        <v>53824007</v>
      </c>
      <c r="F365" s="393">
        <v>8222378.0999999996</v>
      </c>
      <c r="G365" s="284">
        <f>D365-E365</f>
        <v>0</v>
      </c>
      <c r="H365" s="288">
        <f t="shared" si="211"/>
        <v>0</v>
      </c>
      <c r="I365" s="288">
        <f t="shared" si="176"/>
        <v>0</v>
      </c>
      <c r="J365" s="1405"/>
      <c r="K365" s="846"/>
      <c r="L365" s="846"/>
      <c r="M365" s="846"/>
      <c r="N365" s="846"/>
      <c r="O365" s="846"/>
      <c r="P365" s="846"/>
      <c r="Q365" s="846"/>
    </row>
    <row r="366" spans="1:17" x14ac:dyDescent="0.25">
      <c r="A366" s="388"/>
      <c r="B366" s="389" t="s">
        <v>146</v>
      </c>
      <c r="C366" s="390"/>
      <c r="D366" s="392">
        <f>D365-D367</f>
        <v>53824007</v>
      </c>
      <c r="E366" s="392">
        <f>E365-E367</f>
        <v>53824007</v>
      </c>
      <c r="F366" s="392">
        <f>F365-F367</f>
        <v>8222378.0999999996</v>
      </c>
      <c r="G366" s="392">
        <f>D366-E366</f>
        <v>0</v>
      </c>
      <c r="H366" s="288">
        <f t="shared" si="211"/>
        <v>0</v>
      </c>
      <c r="I366" s="288">
        <f t="shared" si="176"/>
        <v>0</v>
      </c>
      <c r="J366" s="1405"/>
      <c r="K366" s="846"/>
      <c r="L366" s="846"/>
      <c r="M366" s="846"/>
      <c r="N366" s="846"/>
      <c r="O366" s="846"/>
      <c r="P366" s="846"/>
      <c r="Q366" s="846"/>
    </row>
    <row r="367" spans="1:17" x14ac:dyDescent="0.25">
      <c r="A367" s="388"/>
      <c r="B367" s="389" t="s">
        <v>147</v>
      </c>
      <c r="C367" s="390"/>
      <c r="D367" s="391"/>
      <c r="E367" s="460">
        <f>D367</f>
        <v>0</v>
      </c>
      <c r="F367" s="391"/>
      <c r="G367" s="392">
        <f>D367-E367</f>
        <v>0</v>
      </c>
      <c r="H367" s="288">
        <f t="shared" si="211"/>
        <v>0</v>
      </c>
      <c r="I367" s="288">
        <f t="shared" si="176"/>
        <v>0</v>
      </c>
    </row>
    <row r="368" spans="1:17" s="846" customFormat="1" x14ac:dyDescent="0.25">
      <c r="A368" s="249"/>
      <c r="B368" s="373"/>
      <c r="C368" s="268"/>
      <c r="D368" s="488"/>
      <c r="E368" s="488"/>
      <c r="F368" s="488"/>
      <c r="G368" s="488"/>
      <c r="H368" s="489"/>
      <c r="I368" s="288">
        <f t="shared" si="176"/>
        <v>0</v>
      </c>
      <c r="J368" s="1405"/>
    </row>
    <row r="369" spans="1:10" s="846" customFormat="1" x14ac:dyDescent="0.25">
      <c r="A369" s="1512">
        <v>1003</v>
      </c>
      <c r="B369" s="1513" t="s">
        <v>875</v>
      </c>
      <c r="C369" s="191"/>
      <c r="D369" s="286">
        <f>D372+D375</f>
        <v>92685500</v>
      </c>
      <c r="E369" s="286">
        <f t="shared" ref="E369:G369" si="212">E372+E375</f>
        <v>0</v>
      </c>
      <c r="F369" s="286">
        <f t="shared" si="212"/>
        <v>0</v>
      </c>
      <c r="G369" s="286">
        <f t="shared" si="212"/>
        <v>92685500</v>
      </c>
      <c r="H369" s="288">
        <f t="shared" ref="H369:H371" si="213">IF(F369&gt;E369,1,0)</f>
        <v>0</v>
      </c>
      <c r="I369" s="288">
        <f t="shared" ref="I369:I371" si="214">IF(G369&lt;0,1,0)</f>
        <v>0</v>
      </c>
      <c r="J369" s="1405"/>
    </row>
    <row r="370" spans="1:10" x14ac:dyDescent="0.25">
      <c r="A370" s="381"/>
      <c r="B370" s="382" t="s">
        <v>146</v>
      </c>
      <c r="C370" s="383"/>
      <c r="D370" s="511">
        <f>D373+D376</f>
        <v>92685500</v>
      </c>
      <c r="E370" s="511">
        <f t="shared" ref="E370:G370" si="215">E373+E376</f>
        <v>0</v>
      </c>
      <c r="F370" s="511">
        <f t="shared" si="215"/>
        <v>0</v>
      </c>
      <c r="G370" s="511">
        <f t="shared" si="215"/>
        <v>92685500</v>
      </c>
      <c r="H370" s="288">
        <f t="shared" si="213"/>
        <v>0</v>
      </c>
      <c r="I370" s="288">
        <f t="shared" si="214"/>
        <v>0</v>
      </c>
      <c r="J370" s="1510"/>
    </row>
    <row r="371" spans="1:10" x14ac:dyDescent="0.25">
      <c r="A371" s="381"/>
      <c r="B371" s="382" t="s">
        <v>147</v>
      </c>
      <c r="C371" s="383"/>
      <c r="D371" s="511">
        <f>D374+D377</f>
        <v>0</v>
      </c>
      <c r="E371" s="511">
        <f t="shared" ref="E371:G371" si="216">E374+E377</f>
        <v>0</v>
      </c>
      <c r="F371" s="511">
        <f t="shared" si="216"/>
        <v>0</v>
      </c>
      <c r="G371" s="511">
        <f t="shared" si="216"/>
        <v>0</v>
      </c>
      <c r="H371" s="288">
        <f t="shared" si="213"/>
        <v>0</v>
      </c>
      <c r="I371" s="288">
        <f t="shared" si="214"/>
        <v>0</v>
      </c>
      <c r="J371" s="1510"/>
    </row>
    <row r="372" spans="1:10" ht="158.4" x14ac:dyDescent="0.25">
      <c r="A372" s="1479"/>
      <c r="B372" s="480" t="s">
        <v>834</v>
      </c>
      <c r="C372" s="144" t="s">
        <v>835</v>
      </c>
      <c r="D372" s="283">
        <v>92685500</v>
      </c>
      <c r="E372" s="200">
        <f>'План и исполнение'!HV37</f>
        <v>0</v>
      </c>
      <c r="F372" s="200">
        <f>'План и исполнение'!HY37</f>
        <v>0</v>
      </c>
      <c r="G372" s="284">
        <f t="shared" ref="G372:G375" si="217">D372-E372</f>
        <v>92685500</v>
      </c>
      <c r="H372" s="288">
        <f t="shared" ref="H372:H377" si="218">IF(F372&gt;E372,1,0)</f>
        <v>0</v>
      </c>
      <c r="I372" s="288">
        <f t="shared" ref="I372:I377" si="219">IF(G372&lt;0,1,0)</f>
        <v>0</v>
      </c>
      <c r="J372" s="1404">
        <f>D372+D375</f>
        <v>92685500</v>
      </c>
    </row>
    <row r="373" spans="1:10" x14ac:dyDescent="0.25">
      <c r="A373" s="388"/>
      <c r="B373" s="389" t="s">
        <v>146</v>
      </c>
      <c r="C373" s="390"/>
      <c r="D373" s="392">
        <f>D372</f>
        <v>92685500</v>
      </c>
      <c r="E373" s="392">
        <f>E372</f>
        <v>0</v>
      </c>
      <c r="F373" s="392">
        <f>F372</f>
        <v>0</v>
      </c>
      <c r="G373" s="392">
        <f t="shared" si="217"/>
        <v>92685500</v>
      </c>
      <c r="H373" s="288">
        <f t="shared" si="218"/>
        <v>0</v>
      </c>
      <c r="I373" s="288">
        <f t="shared" si="219"/>
        <v>0</v>
      </c>
      <c r="J373" s="1480"/>
    </row>
    <row r="374" spans="1:10" x14ac:dyDescent="0.25">
      <c r="A374" s="388"/>
      <c r="B374" s="389" t="s">
        <v>147</v>
      </c>
      <c r="C374" s="390"/>
      <c r="D374" s="392"/>
      <c r="E374" s="392"/>
      <c r="F374" s="392"/>
      <c r="G374" s="392">
        <f t="shared" si="217"/>
        <v>0</v>
      </c>
      <c r="H374" s="288">
        <f t="shared" si="218"/>
        <v>0</v>
      </c>
      <c r="I374" s="288">
        <f t="shared" si="219"/>
        <v>0</v>
      </c>
      <c r="J374" s="1480"/>
    </row>
    <row r="375" spans="1:10" x14ac:dyDescent="0.25">
      <c r="A375" s="724"/>
      <c r="B375" s="725" t="s">
        <v>58</v>
      </c>
      <c r="C375" s="711" t="s">
        <v>835</v>
      </c>
      <c r="D375" s="726"/>
      <c r="E375" s="723">
        <f>'План и исполнение'!HW37</f>
        <v>0</v>
      </c>
      <c r="F375" s="723">
        <f>'План и исполнение'!HZ37</f>
        <v>0</v>
      </c>
      <c r="G375" s="727">
        <f t="shared" si="217"/>
        <v>0</v>
      </c>
      <c r="H375" s="288">
        <f t="shared" si="218"/>
        <v>0</v>
      </c>
      <c r="I375" s="288">
        <f t="shared" si="219"/>
        <v>0</v>
      </c>
      <c r="J375" s="1480"/>
    </row>
    <row r="376" spans="1:10" x14ac:dyDescent="0.25">
      <c r="A376" s="724"/>
      <c r="B376" s="728" t="s">
        <v>146</v>
      </c>
      <c r="C376" s="729"/>
      <c r="D376" s="727">
        <f>D375</f>
        <v>0</v>
      </c>
      <c r="E376" s="727">
        <f>E375</f>
        <v>0</v>
      </c>
      <c r="F376" s="727">
        <f>F375</f>
        <v>0</v>
      </c>
      <c r="G376" s="727">
        <f>D376-E376</f>
        <v>0</v>
      </c>
      <c r="H376" s="288">
        <f t="shared" si="218"/>
        <v>0</v>
      </c>
      <c r="I376" s="288">
        <f t="shared" si="219"/>
        <v>0</v>
      </c>
      <c r="J376" s="1480"/>
    </row>
    <row r="377" spans="1:10" x14ac:dyDescent="0.25">
      <c r="A377" s="724"/>
      <c r="B377" s="728" t="s">
        <v>147</v>
      </c>
      <c r="C377" s="729"/>
      <c r="D377" s="727"/>
      <c r="E377" s="727"/>
      <c r="F377" s="727"/>
      <c r="G377" s="727">
        <f>D377-E377</f>
        <v>0</v>
      </c>
      <c r="H377" s="288">
        <f t="shared" si="218"/>
        <v>0</v>
      </c>
      <c r="I377" s="288">
        <f t="shared" si="219"/>
        <v>0</v>
      </c>
      <c r="J377" s="1480"/>
    </row>
    <row r="378" spans="1:10" s="846" customFormat="1" x14ac:dyDescent="0.25">
      <c r="A378" s="249"/>
      <c r="B378" s="373"/>
      <c r="C378" s="268"/>
      <c r="D378" s="488"/>
      <c r="E378" s="488"/>
      <c r="F378" s="488"/>
      <c r="G378" s="488"/>
      <c r="H378" s="489"/>
      <c r="I378" s="489"/>
      <c r="J378" s="1405"/>
    </row>
    <row r="379" spans="1:10" x14ac:dyDescent="0.25">
      <c r="A379" s="185">
        <v>1101</v>
      </c>
      <c r="B379" s="251" t="s">
        <v>30</v>
      </c>
      <c r="C379" s="191"/>
      <c r="D379" s="286">
        <f>D383</f>
        <v>43500000</v>
      </c>
      <c r="E379" s="286">
        <f t="shared" ref="E379:G379" si="220">E383</f>
        <v>43500000</v>
      </c>
      <c r="F379" s="286">
        <f t="shared" si="220"/>
        <v>0</v>
      </c>
      <c r="G379" s="286">
        <f t="shared" si="220"/>
        <v>0</v>
      </c>
      <c r="H379" s="288">
        <f t="shared" ref="H379:H385" si="221">IF(F379&gt;E379,1,0)</f>
        <v>0</v>
      </c>
      <c r="I379" s="288">
        <f t="shared" si="176"/>
        <v>0</v>
      </c>
    </row>
    <row r="380" spans="1:10" x14ac:dyDescent="0.25">
      <c r="A380" s="381"/>
      <c r="B380" s="382" t="s">
        <v>146</v>
      </c>
      <c r="C380" s="383"/>
      <c r="D380" s="511">
        <f>D384</f>
        <v>43500000</v>
      </c>
      <c r="E380" s="511">
        <f t="shared" ref="E380:G380" si="222">E384</f>
        <v>43500000</v>
      </c>
      <c r="F380" s="511">
        <f t="shared" si="222"/>
        <v>0</v>
      </c>
      <c r="G380" s="511">
        <f t="shared" si="222"/>
        <v>0</v>
      </c>
      <c r="H380" s="288">
        <f t="shared" si="221"/>
        <v>0</v>
      </c>
      <c r="I380" s="288">
        <f t="shared" si="176"/>
        <v>0</v>
      </c>
    </row>
    <row r="381" spans="1:10" x14ac:dyDescent="0.25">
      <c r="A381" s="381"/>
      <c r="B381" s="382" t="s">
        <v>147</v>
      </c>
      <c r="C381" s="383"/>
      <c r="D381" s="511">
        <f>D385</f>
        <v>0</v>
      </c>
      <c r="E381" s="511">
        <f t="shared" ref="E381:G381" si="223">E385</f>
        <v>0</v>
      </c>
      <c r="F381" s="511">
        <f t="shared" si="223"/>
        <v>0</v>
      </c>
      <c r="G381" s="511">
        <f t="shared" si="223"/>
        <v>0</v>
      </c>
      <c r="H381" s="288">
        <f t="shared" si="221"/>
        <v>0</v>
      </c>
      <c r="I381" s="288">
        <f t="shared" si="176"/>
        <v>0</v>
      </c>
    </row>
    <row r="382" spans="1:10" x14ac:dyDescent="0.25">
      <c r="A382" s="193"/>
      <c r="B382" s="481" t="s">
        <v>38</v>
      </c>
      <c r="C382" s="189"/>
      <c r="D382" s="285"/>
      <c r="E382" s="187"/>
      <c r="F382" s="187"/>
      <c r="G382" s="284"/>
      <c r="H382" s="288">
        <f t="shared" si="221"/>
        <v>0</v>
      </c>
      <c r="I382" s="288">
        <f t="shared" si="176"/>
        <v>0</v>
      </c>
    </row>
    <row r="383" spans="1:10" ht="171.6" x14ac:dyDescent="0.25">
      <c r="A383" s="193"/>
      <c r="B383" s="482" t="s">
        <v>223</v>
      </c>
      <c r="C383" s="144" t="s">
        <v>199</v>
      </c>
      <c r="D383" s="283">
        <v>43500000</v>
      </c>
      <c r="E383" s="454">
        <f>D383</f>
        <v>43500000</v>
      </c>
      <c r="F383" s="393"/>
      <c r="G383" s="284">
        <f t="shared" ref="G383" si="224">D383-E383</f>
        <v>0</v>
      </c>
      <c r="H383" s="288">
        <f t="shared" si="221"/>
        <v>0</v>
      </c>
      <c r="I383" s="288">
        <f t="shared" ref="I383:I453" si="225">IF(G383&lt;0,1,0)</f>
        <v>0</v>
      </c>
    </row>
    <row r="384" spans="1:10" x14ac:dyDescent="0.25">
      <c r="A384" s="388"/>
      <c r="B384" s="389" t="s">
        <v>146</v>
      </c>
      <c r="C384" s="390"/>
      <c r="D384" s="392">
        <f>D383</f>
        <v>43500000</v>
      </c>
      <c r="E384" s="392">
        <f t="shared" ref="E384:G384" si="226">E383</f>
        <v>43500000</v>
      </c>
      <c r="F384" s="392">
        <f t="shared" si="226"/>
        <v>0</v>
      </c>
      <c r="G384" s="392">
        <f t="shared" si="226"/>
        <v>0</v>
      </c>
      <c r="H384" s="288">
        <f t="shared" si="221"/>
        <v>0</v>
      </c>
      <c r="I384" s="288">
        <f t="shared" si="225"/>
        <v>0</v>
      </c>
    </row>
    <row r="385" spans="1:10" x14ac:dyDescent="0.25">
      <c r="A385" s="388"/>
      <c r="B385" s="389" t="s">
        <v>147</v>
      </c>
      <c r="C385" s="390"/>
      <c r="D385" s="460"/>
      <c r="E385" s="460"/>
      <c r="F385" s="460"/>
      <c r="G385" s="460"/>
      <c r="H385" s="288">
        <f t="shared" si="221"/>
        <v>0</v>
      </c>
      <c r="I385" s="288">
        <f t="shared" si="225"/>
        <v>0</v>
      </c>
    </row>
    <row r="386" spans="1:10" x14ac:dyDescent="0.25">
      <c r="A386" s="193"/>
      <c r="B386" s="482"/>
      <c r="C386" s="268"/>
      <c r="D386" s="283"/>
      <c r="E386" s="187"/>
      <c r="F386" s="187"/>
      <c r="G386" s="284"/>
      <c r="H386" s="288"/>
      <c r="I386" s="288">
        <f t="shared" si="225"/>
        <v>0</v>
      </c>
    </row>
    <row r="387" spans="1:10" x14ac:dyDescent="0.25">
      <c r="A387" s="185">
        <v>1102</v>
      </c>
      <c r="B387" s="251" t="s">
        <v>103</v>
      </c>
      <c r="C387" s="191"/>
      <c r="D387" s="286">
        <f>D391+D406+D409+D424+D394+D397+D400+D403+D412+D415+D418+D421</f>
        <v>295182398.94999999</v>
      </c>
      <c r="E387" s="286">
        <f t="shared" ref="E387:G387" si="227">E391+E406+E409+E424+E394+E397+E400+E403+E412+E415+E418+E421</f>
        <v>295182398.94999999</v>
      </c>
      <c r="F387" s="286">
        <f t="shared" si="227"/>
        <v>79602988.969999984</v>
      </c>
      <c r="G387" s="286">
        <f t="shared" si="227"/>
        <v>0</v>
      </c>
      <c r="H387" s="288">
        <f t="shared" ref="H387:H453" si="228">IF(F387&gt;E387,1,0)</f>
        <v>0</v>
      </c>
      <c r="I387" s="288">
        <f t="shared" si="225"/>
        <v>0</v>
      </c>
    </row>
    <row r="388" spans="1:10" x14ac:dyDescent="0.25">
      <c r="A388" s="381"/>
      <c r="B388" s="382" t="s">
        <v>146</v>
      </c>
      <c r="C388" s="383"/>
      <c r="D388" s="511">
        <f t="shared" ref="D388:G389" si="229">D392+D407+D410+D425+D395+D398+D401+D404+D413+D416+D419+D422</f>
        <v>86835403.159999996</v>
      </c>
      <c r="E388" s="511">
        <f t="shared" si="229"/>
        <v>86835403.159999996</v>
      </c>
      <c r="F388" s="511">
        <f t="shared" si="229"/>
        <v>7991354.2200000007</v>
      </c>
      <c r="G388" s="511">
        <f t="shared" si="229"/>
        <v>0</v>
      </c>
      <c r="H388" s="288">
        <f t="shared" si="228"/>
        <v>0</v>
      </c>
      <c r="I388" s="288">
        <f t="shared" si="225"/>
        <v>0</v>
      </c>
    </row>
    <row r="389" spans="1:10" x14ac:dyDescent="0.25">
      <c r="A389" s="381"/>
      <c r="B389" s="382" t="s">
        <v>147</v>
      </c>
      <c r="C389" s="383"/>
      <c r="D389" s="511">
        <f t="shared" si="229"/>
        <v>208346995.79000002</v>
      </c>
      <c r="E389" s="511">
        <f t="shared" si="229"/>
        <v>208346995.79000002</v>
      </c>
      <c r="F389" s="511">
        <f t="shared" si="229"/>
        <v>71611634.75</v>
      </c>
      <c r="G389" s="511">
        <f t="shared" si="229"/>
        <v>0</v>
      </c>
      <c r="H389" s="288">
        <f t="shared" si="228"/>
        <v>0</v>
      </c>
      <c r="I389" s="288">
        <f t="shared" si="225"/>
        <v>0</v>
      </c>
    </row>
    <row r="390" spans="1:10" x14ac:dyDescent="0.25">
      <c r="A390" s="193"/>
      <c r="B390" s="481" t="s">
        <v>38</v>
      </c>
      <c r="C390" s="189"/>
      <c r="D390" s="285"/>
      <c r="E390" s="187"/>
      <c r="F390" s="187"/>
      <c r="G390" s="284"/>
      <c r="H390" s="288">
        <f t="shared" si="228"/>
        <v>0</v>
      </c>
      <c r="I390" s="288">
        <f t="shared" si="225"/>
        <v>0</v>
      </c>
    </row>
    <row r="391" spans="1:10" ht="132" x14ac:dyDescent="0.25">
      <c r="A391" s="193"/>
      <c r="B391" s="482" t="s">
        <v>600</v>
      </c>
      <c r="C391" s="144" t="s">
        <v>599</v>
      </c>
      <c r="D391" s="283">
        <v>5400000</v>
      </c>
      <c r="E391" s="200">
        <f>'Прочая  субсидия_МР  и  ГО'!D38</f>
        <v>5400000</v>
      </c>
      <c r="F391" s="200">
        <f>'Прочая  субсидия_МР  и  ГО'!E38</f>
        <v>596047.21</v>
      </c>
      <c r="G391" s="284">
        <f>D391-E391</f>
        <v>0</v>
      </c>
      <c r="H391" s="288">
        <f t="shared" ref="H391:H399" si="230">IF(F391&gt;E391,1,0)</f>
        <v>0</v>
      </c>
      <c r="I391" s="288">
        <f t="shared" ref="I391:I399" si="231">IF(G391&lt;0,1,0)</f>
        <v>0</v>
      </c>
    </row>
    <row r="392" spans="1:10" x14ac:dyDescent="0.25">
      <c r="A392" s="388"/>
      <c r="B392" s="389" t="s">
        <v>146</v>
      </c>
      <c r="C392" s="390"/>
      <c r="D392" s="392">
        <f>D391</f>
        <v>5400000</v>
      </c>
      <c r="E392" s="392">
        <f>E391</f>
        <v>5400000</v>
      </c>
      <c r="F392" s="392">
        <f>F391</f>
        <v>596047.21</v>
      </c>
      <c r="G392" s="392">
        <f>D392-E392</f>
        <v>0</v>
      </c>
      <c r="H392" s="288">
        <f t="shared" si="230"/>
        <v>0</v>
      </c>
      <c r="I392" s="288">
        <f t="shared" si="231"/>
        <v>0</v>
      </c>
    </row>
    <row r="393" spans="1:10" x14ac:dyDescent="0.25">
      <c r="A393" s="388"/>
      <c r="B393" s="389" t="s">
        <v>147</v>
      </c>
      <c r="C393" s="390"/>
      <c r="D393" s="392"/>
      <c r="E393" s="392"/>
      <c r="F393" s="392"/>
      <c r="G393" s="392">
        <f>D393-E393</f>
        <v>0</v>
      </c>
      <c r="H393" s="288">
        <f t="shared" si="230"/>
        <v>0</v>
      </c>
      <c r="I393" s="288">
        <f t="shared" si="231"/>
        <v>0</v>
      </c>
    </row>
    <row r="394" spans="1:10" ht="224.4" x14ac:dyDescent="0.25">
      <c r="A394" s="1147"/>
      <c r="B394" s="482" t="s">
        <v>601</v>
      </c>
      <c r="C394" s="144" t="s">
        <v>476</v>
      </c>
      <c r="D394" s="283">
        <v>2361275.79</v>
      </c>
      <c r="E394" s="200">
        <f>'План и исполнение'!PP37</f>
        <v>2361275.79</v>
      </c>
      <c r="F394" s="200">
        <f>'План и исполнение'!PS37</f>
        <v>677786.53</v>
      </c>
      <c r="G394" s="284">
        <f t="shared" ref="G394" si="232">D394-E394</f>
        <v>0</v>
      </c>
      <c r="H394" s="288">
        <f t="shared" si="230"/>
        <v>0</v>
      </c>
      <c r="I394" s="288">
        <f t="shared" si="231"/>
        <v>0</v>
      </c>
      <c r="J394" s="1404">
        <f>D394+D397</f>
        <v>114521875.79000001</v>
      </c>
    </row>
    <row r="395" spans="1:10" x14ac:dyDescent="0.25">
      <c r="A395" s="388"/>
      <c r="B395" s="389" t="s">
        <v>146</v>
      </c>
      <c r="C395" s="390"/>
      <c r="D395" s="392"/>
      <c r="E395" s="392"/>
      <c r="F395" s="392"/>
      <c r="G395" s="392"/>
      <c r="H395" s="288">
        <f t="shared" si="230"/>
        <v>0</v>
      </c>
      <c r="I395" s="288">
        <f t="shared" si="231"/>
        <v>0</v>
      </c>
    </row>
    <row r="396" spans="1:10" x14ac:dyDescent="0.25">
      <c r="A396" s="388"/>
      <c r="B396" s="389" t="s">
        <v>147</v>
      </c>
      <c r="C396" s="390"/>
      <c r="D396" s="392">
        <f>D394</f>
        <v>2361275.79</v>
      </c>
      <c r="E396" s="392">
        <f t="shared" ref="E396:G396" si="233">E394</f>
        <v>2361275.79</v>
      </c>
      <c r="F396" s="392">
        <f t="shared" si="233"/>
        <v>677786.53</v>
      </c>
      <c r="G396" s="392">
        <f t="shared" si="233"/>
        <v>0</v>
      </c>
      <c r="H396" s="288">
        <f t="shared" si="230"/>
        <v>0</v>
      </c>
      <c r="I396" s="288">
        <f t="shared" si="231"/>
        <v>0</v>
      </c>
    </row>
    <row r="397" spans="1:10" x14ac:dyDescent="0.25">
      <c r="A397" s="724"/>
      <c r="B397" s="725" t="s">
        <v>58</v>
      </c>
      <c r="C397" s="711" t="s">
        <v>476</v>
      </c>
      <c r="D397" s="726">
        <v>112160600</v>
      </c>
      <c r="E397" s="723">
        <f>'План и исполнение'!PQ37</f>
        <v>112160600</v>
      </c>
      <c r="F397" s="723">
        <f>'План и исполнение'!PT37</f>
        <v>32194859.629999999</v>
      </c>
      <c r="G397" s="727">
        <f t="shared" ref="G397" si="234">D397-E397</f>
        <v>0</v>
      </c>
      <c r="H397" s="288">
        <f t="shared" si="230"/>
        <v>0</v>
      </c>
      <c r="I397" s="288">
        <f t="shared" si="231"/>
        <v>0</v>
      </c>
    </row>
    <row r="398" spans="1:10" x14ac:dyDescent="0.25">
      <c r="A398" s="724"/>
      <c r="B398" s="728" t="s">
        <v>146</v>
      </c>
      <c r="C398" s="729"/>
      <c r="D398" s="727"/>
      <c r="E398" s="727"/>
      <c r="F398" s="727"/>
      <c r="G398" s="727"/>
      <c r="H398" s="288">
        <f t="shared" si="230"/>
        <v>0</v>
      </c>
      <c r="I398" s="288">
        <f t="shared" si="231"/>
        <v>0</v>
      </c>
    </row>
    <row r="399" spans="1:10" x14ac:dyDescent="0.25">
      <c r="A399" s="724"/>
      <c r="B399" s="728" t="s">
        <v>147</v>
      </c>
      <c r="C399" s="729"/>
      <c r="D399" s="727">
        <f>D397</f>
        <v>112160600</v>
      </c>
      <c r="E399" s="727">
        <f t="shared" ref="E399:G399" si="235">E397</f>
        <v>112160600</v>
      </c>
      <c r="F399" s="727">
        <f t="shared" si="235"/>
        <v>32194859.629999999</v>
      </c>
      <c r="G399" s="727">
        <f t="shared" si="235"/>
        <v>0</v>
      </c>
      <c r="H399" s="288">
        <f t="shared" si="230"/>
        <v>0</v>
      </c>
      <c r="I399" s="288">
        <f t="shared" si="231"/>
        <v>0</v>
      </c>
      <c r="J399" s="1406"/>
    </row>
    <row r="400" spans="1:10" ht="237.6" x14ac:dyDescent="0.25">
      <c r="A400" s="249"/>
      <c r="B400" s="486" t="s">
        <v>535</v>
      </c>
      <c r="C400" s="144" t="s">
        <v>447</v>
      </c>
      <c r="D400" s="283">
        <v>481629.47</v>
      </c>
      <c r="E400" s="200">
        <f>'План и исполнение'!EJ37</f>
        <v>481629.47</v>
      </c>
      <c r="F400" s="200">
        <f>'План и исполнение'!EO37</f>
        <v>238776.04000000004</v>
      </c>
      <c r="G400" s="284">
        <f>D400-E400</f>
        <v>0</v>
      </c>
      <c r="H400" s="288">
        <f t="shared" ref="H400:H405" si="236">IF(F400&gt;E400,1,0)</f>
        <v>0</v>
      </c>
      <c r="I400" s="288">
        <f t="shared" ref="I400:I405" si="237">IF(G400&lt;0,1,0)</f>
        <v>0</v>
      </c>
      <c r="J400" s="1404">
        <f>D400+D403</f>
        <v>11920329.470000001</v>
      </c>
    </row>
    <row r="401" spans="1:10" x14ac:dyDescent="0.25">
      <c r="A401" s="388"/>
      <c r="B401" s="389" t="s">
        <v>146</v>
      </c>
      <c r="C401" s="390"/>
      <c r="D401" s="392">
        <f>D400</f>
        <v>481629.47</v>
      </c>
      <c r="E401" s="392">
        <f>E400</f>
        <v>481629.47</v>
      </c>
      <c r="F401" s="392">
        <f t="shared" ref="F401:G401" si="238">F400</f>
        <v>238776.04000000004</v>
      </c>
      <c r="G401" s="392">
        <f t="shared" si="238"/>
        <v>0</v>
      </c>
      <c r="H401" s="288">
        <f t="shared" si="236"/>
        <v>0</v>
      </c>
      <c r="I401" s="288">
        <f t="shared" si="237"/>
        <v>0</v>
      </c>
    </row>
    <row r="402" spans="1:10" x14ac:dyDescent="0.25">
      <c r="A402" s="388"/>
      <c r="B402" s="389" t="s">
        <v>147</v>
      </c>
      <c r="C402" s="390"/>
      <c r="D402" s="392"/>
      <c r="E402" s="392"/>
      <c r="F402" s="392"/>
      <c r="G402" s="392"/>
      <c r="H402" s="288">
        <f t="shared" si="236"/>
        <v>0</v>
      </c>
      <c r="I402" s="288">
        <f t="shared" si="237"/>
        <v>0</v>
      </c>
    </row>
    <row r="403" spans="1:10" x14ac:dyDescent="0.25">
      <c r="A403" s="724"/>
      <c r="B403" s="725" t="s">
        <v>58</v>
      </c>
      <c r="C403" s="711" t="s">
        <v>447</v>
      </c>
      <c r="D403" s="726">
        <v>11438700</v>
      </c>
      <c r="E403" s="723">
        <f>'План и исполнение'!EK37</f>
        <v>11438700</v>
      </c>
      <c r="F403" s="723">
        <f>'План и исполнение'!EP37</f>
        <v>5670930.9699999997</v>
      </c>
      <c r="G403" s="727">
        <f>D403-E403</f>
        <v>0</v>
      </c>
      <c r="H403" s="288">
        <f t="shared" si="236"/>
        <v>0</v>
      </c>
      <c r="I403" s="288">
        <f t="shared" si="237"/>
        <v>0</v>
      </c>
    </row>
    <row r="404" spans="1:10" x14ac:dyDescent="0.25">
      <c r="A404" s="724"/>
      <c r="B404" s="728" t="s">
        <v>146</v>
      </c>
      <c r="C404" s="729"/>
      <c r="D404" s="727">
        <f>D403</f>
        <v>11438700</v>
      </c>
      <c r="E404" s="727">
        <f>E403</f>
        <v>11438700</v>
      </c>
      <c r="F404" s="727">
        <f t="shared" ref="F404:G404" si="239">F403</f>
        <v>5670930.9699999997</v>
      </c>
      <c r="G404" s="727">
        <f t="shared" si="239"/>
        <v>0</v>
      </c>
      <c r="H404" s="288">
        <f t="shared" si="236"/>
        <v>0</v>
      </c>
      <c r="I404" s="288">
        <f t="shared" si="237"/>
        <v>0</v>
      </c>
    </row>
    <row r="405" spans="1:10" x14ac:dyDescent="0.25">
      <c r="A405" s="724"/>
      <c r="B405" s="728" t="s">
        <v>147</v>
      </c>
      <c r="C405" s="729"/>
      <c r="D405" s="727"/>
      <c r="E405" s="727"/>
      <c r="F405" s="727"/>
      <c r="G405" s="727"/>
      <c r="H405" s="288">
        <f t="shared" si="236"/>
        <v>0</v>
      </c>
      <c r="I405" s="288">
        <f t="shared" si="237"/>
        <v>0</v>
      </c>
      <c r="J405" s="1406"/>
    </row>
    <row r="406" spans="1:10" ht="171.6" x14ac:dyDescent="0.25">
      <c r="A406" s="193"/>
      <c r="B406" s="482" t="s">
        <v>448</v>
      </c>
      <c r="C406" s="144" t="s">
        <v>484</v>
      </c>
      <c r="D406" s="283">
        <v>1263157.8999999999</v>
      </c>
      <c r="E406" s="200">
        <f>'План и исполнение'!EL37</f>
        <v>1263157.8999999999</v>
      </c>
      <c r="F406" s="200">
        <f>'План и исполнение'!EQ37</f>
        <v>0</v>
      </c>
      <c r="G406" s="284">
        <f t="shared" ref="G406:G409" si="240">D406-E406</f>
        <v>0</v>
      </c>
      <c r="H406" s="288">
        <f t="shared" ref="H406:H426" si="241">IF(F406&gt;E406,1,0)</f>
        <v>0</v>
      </c>
      <c r="I406" s="288">
        <f t="shared" ref="I406:I426" si="242">IF(G406&lt;0,1,0)</f>
        <v>0</v>
      </c>
      <c r="J406" s="1404">
        <f>D406+D409</f>
        <v>41263157.899999999</v>
      </c>
    </row>
    <row r="407" spans="1:10" x14ac:dyDescent="0.25">
      <c r="A407" s="388"/>
      <c r="B407" s="389" t="s">
        <v>146</v>
      </c>
      <c r="C407" s="390"/>
      <c r="D407" s="392">
        <f>D406</f>
        <v>1263157.8999999999</v>
      </c>
      <c r="E407" s="392">
        <f t="shared" ref="E407:G407" si="243">E406</f>
        <v>1263157.8999999999</v>
      </c>
      <c r="F407" s="392">
        <f t="shared" si="243"/>
        <v>0</v>
      </c>
      <c r="G407" s="392">
        <f t="shared" si="243"/>
        <v>0</v>
      </c>
      <c r="H407" s="288">
        <f t="shared" si="241"/>
        <v>0</v>
      </c>
      <c r="I407" s="288">
        <f t="shared" si="242"/>
        <v>0</v>
      </c>
    </row>
    <row r="408" spans="1:10" x14ac:dyDescent="0.25">
      <c r="A408" s="388"/>
      <c r="B408" s="389" t="s">
        <v>147</v>
      </c>
      <c r="C408" s="390"/>
      <c r="D408" s="392"/>
      <c r="E408" s="392"/>
      <c r="F408" s="392"/>
      <c r="G408" s="392"/>
      <c r="H408" s="288">
        <f t="shared" si="241"/>
        <v>0</v>
      </c>
      <c r="I408" s="288">
        <f t="shared" si="242"/>
        <v>0</v>
      </c>
    </row>
    <row r="409" spans="1:10" x14ac:dyDescent="0.25">
      <c r="A409" s="724"/>
      <c r="B409" s="725" t="s">
        <v>58</v>
      </c>
      <c r="C409" s="711" t="s">
        <v>484</v>
      </c>
      <c r="D409" s="726">
        <v>40000000</v>
      </c>
      <c r="E409" s="723">
        <f>'План и исполнение'!EM37</f>
        <v>40000000</v>
      </c>
      <c r="F409" s="723">
        <f>'План и исполнение'!ER37</f>
        <v>0</v>
      </c>
      <c r="G409" s="727">
        <f t="shared" si="240"/>
        <v>0</v>
      </c>
      <c r="H409" s="288">
        <f t="shared" si="241"/>
        <v>0</v>
      </c>
      <c r="I409" s="288">
        <f t="shared" si="242"/>
        <v>0</v>
      </c>
    </row>
    <row r="410" spans="1:10" x14ac:dyDescent="0.25">
      <c r="A410" s="724"/>
      <c r="B410" s="728" t="s">
        <v>146</v>
      </c>
      <c r="C410" s="729"/>
      <c r="D410" s="727">
        <f>D409</f>
        <v>40000000</v>
      </c>
      <c r="E410" s="727">
        <f t="shared" ref="E410:G410" si="244">E409</f>
        <v>40000000</v>
      </c>
      <c r="F410" s="727">
        <f t="shared" si="244"/>
        <v>0</v>
      </c>
      <c r="G410" s="727">
        <f t="shared" si="244"/>
        <v>0</v>
      </c>
      <c r="H410" s="288">
        <f t="shared" si="241"/>
        <v>0</v>
      </c>
      <c r="I410" s="288">
        <f t="shared" si="242"/>
        <v>0</v>
      </c>
    </row>
    <row r="411" spans="1:10" x14ac:dyDescent="0.25">
      <c r="A411" s="724"/>
      <c r="B411" s="728" t="s">
        <v>147</v>
      </c>
      <c r="C411" s="729"/>
      <c r="D411" s="727"/>
      <c r="E411" s="727"/>
      <c r="F411" s="727"/>
      <c r="G411" s="727"/>
      <c r="H411" s="288">
        <f t="shared" si="241"/>
        <v>0</v>
      </c>
      <c r="I411" s="288">
        <f t="shared" si="242"/>
        <v>0</v>
      </c>
      <c r="J411" s="1406"/>
    </row>
    <row r="412" spans="1:10" ht="171.6" x14ac:dyDescent="0.25">
      <c r="A412" s="1225"/>
      <c r="B412" s="482" t="s">
        <v>560</v>
      </c>
      <c r="C412" s="144" t="s">
        <v>559</v>
      </c>
      <c r="D412" s="283">
        <v>69613420</v>
      </c>
      <c r="E412" s="200">
        <f>'План и исполнение'!JL37</f>
        <v>69613420</v>
      </c>
      <c r="F412" s="200">
        <f>'План и исполнение'!JO37</f>
        <v>28742339.82</v>
      </c>
      <c r="G412" s="284">
        <f t="shared" ref="G412" si="245">D412-E412</f>
        <v>0</v>
      </c>
      <c r="H412" s="288">
        <f t="shared" ref="H412:H417" si="246">IF(F412&gt;E412,1,0)</f>
        <v>0</v>
      </c>
      <c r="I412" s="288">
        <f t="shared" ref="I412:I417" si="247">IF(G412&lt;0,1,0)</f>
        <v>0</v>
      </c>
      <c r="J412" s="1404">
        <f>D412+D415</f>
        <v>93825120</v>
      </c>
    </row>
    <row r="413" spans="1:10" x14ac:dyDescent="0.25">
      <c r="A413" s="388"/>
      <c r="B413" s="389" t="s">
        <v>146</v>
      </c>
      <c r="C413" s="390"/>
      <c r="D413" s="392"/>
      <c r="E413" s="392"/>
      <c r="F413" s="392"/>
      <c r="G413" s="392"/>
      <c r="H413" s="288">
        <f t="shared" si="246"/>
        <v>0</v>
      </c>
      <c r="I413" s="288">
        <f t="shared" si="247"/>
        <v>0</v>
      </c>
    </row>
    <row r="414" spans="1:10" x14ac:dyDescent="0.25">
      <c r="A414" s="388"/>
      <c r="B414" s="389" t="s">
        <v>147</v>
      </c>
      <c r="C414" s="390"/>
      <c r="D414" s="392">
        <f>D412</f>
        <v>69613420</v>
      </c>
      <c r="E414" s="392">
        <f t="shared" ref="E414:G414" si="248">E412</f>
        <v>69613420</v>
      </c>
      <c r="F414" s="392">
        <f t="shared" si="248"/>
        <v>28742339.82</v>
      </c>
      <c r="G414" s="392">
        <f t="shared" si="248"/>
        <v>0</v>
      </c>
      <c r="H414" s="288">
        <f t="shared" si="246"/>
        <v>0</v>
      </c>
      <c r="I414" s="288">
        <f t="shared" si="247"/>
        <v>0</v>
      </c>
    </row>
    <row r="415" spans="1:10" x14ac:dyDescent="0.25">
      <c r="A415" s="724"/>
      <c r="B415" s="725" t="s">
        <v>58</v>
      </c>
      <c r="C415" s="711" t="s">
        <v>559</v>
      </c>
      <c r="D415" s="726">
        <v>24211700</v>
      </c>
      <c r="E415" s="723">
        <f>'План и исполнение'!JM37</f>
        <v>24211700</v>
      </c>
      <c r="F415" s="723">
        <f>'План и исполнение'!JP37</f>
        <v>9996648.7699999996</v>
      </c>
      <c r="G415" s="727">
        <f t="shared" ref="G415" si="249">D415-E415</f>
        <v>0</v>
      </c>
      <c r="H415" s="288">
        <f t="shared" si="246"/>
        <v>0</v>
      </c>
      <c r="I415" s="288">
        <f t="shared" si="247"/>
        <v>0</v>
      </c>
    </row>
    <row r="416" spans="1:10" x14ac:dyDescent="0.25">
      <c r="A416" s="724"/>
      <c r="B416" s="728" t="s">
        <v>146</v>
      </c>
      <c r="C416" s="729"/>
      <c r="D416" s="727"/>
      <c r="E416" s="727"/>
      <c r="F416" s="727"/>
      <c r="G416" s="727"/>
      <c r="H416" s="288">
        <f t="shared" si="246"/>
        <v>0</v>
      </c>
      <c r="I416" s="288">
        <f t="shared" si="247"/>
        <v>0</v>
      </c>
    </row>
    <row r="417" spans="1:10" x14ac:dyDescent="0.25">
      <c r="A417" s="724"/>
      <c r="B417" s="728" t="s">
        <v>147</v>
      </c>
      <c r="C417" s="729"/>
      <c r="D417" s="727">
        <f>D415</f>
        <v>24211700</v>
      </c>
      <c r="E417" s="727">
        <f t="shared" ref="E417:G417" si="250">E415</f>
        <v>24211700</v>
      </c>
      <c r="F417" s="727">
        <f t="shared" si="250"/>
        <v>9996648.7699999996</v>
      </c>
      <c r="G417" s="727">
        <f t="shared" si="250"/>
        <v>0</v>
      </c>
      <c r="H417" s="288">
        <f t="shared" si="246"/>
        <v>0</v>
      </c>
      <c r="I417" s="288">
        <f t="shared" si="247"/>
        <v>0</v>
      </c>
      <c r="J417" s="1406"/>
    </row>
    <row r="418" spans="1:10" s="846" customFormat="1" ht="198" x14ac:dyDescent="0.25">
      <c r="A418" s="1147"/>
      <c r="B418" s="486" t="s">
        <v>537</v>
      </c>
      <c r="C418" s="144" t="s">
        <v>480</v>
      </c>
      <c r="D418" s="283">
        <v>526315.79</v>
      </c>
      <c r="E418" s="200">
        <f>'План и исполнение'!ET37</f>
        <v>526315.79</v>
      </c>
      <c r="F418" s="200">
        <f>'План и исполнение'!EW37</f>
        <v>28865.98</v>
      </c>
      <c r="G418" s="284">
        <f t="shared" ref="G418:G423" si="251">D418-E418</f>
        <v>0</v>
      </c>
      <c r="H418" s="288">
        <f t="shared" ref="H418:H423" si="252">IF(F418&gt;E418,1,0)</f>
        <v>0</v>
      </c>
      <c r="I418" s="288">
        <f t="shared" ref="I418:I423" si="253">IF(G418&lt;0,1,0)</f>
        <v>0</v>
      </c>
      <c r="J418" s="1404">
        <f>D418+D421</f>
        <v>25526315.789999999</v>
      </c>
    </row>
    <row r="419" spans="1:10" s="846" customFormat="1" x14ac:dyDescent="0.25">
      <c r="A419" s="388"/>
      <c r="B419" s="389" t="s">
        <v>146</v>
      </c>
      <c r="C419" s="390"/>
      <c r="D419" s="392">
        <f>D418</f>
        <v>526315.79</v>
      </c>
      <c r="E419" s="392">
        <f t="shared" ref="E419:F419" si="254">E418</f>
        <v>526315.79</v>
      </c>
      <c r="F419" s="392">
        <f t="shared" si="254"/>
        <v>28865.98</v>
      </c>
      <c r="G419" s="392">
        <f t="shared" si="251"/>
        <v>0</v>
      </c>
      <c r="H419" s="288">
        <f t="shared" si="252"/>
        <v>0</v>
      </c>
      <c r="I419" s="288">
        <f t="shared" si="253"/>
        <v>0</v>
      </c>
      <c r="J419" s="1394"/>
    </row>
    <row r="420" spans="1:10" s="846" customFormat="1" x14ac:dyDescent="0.25">
      <c r="A420" s="388"/>
      <c r="B420" s="389" t="s">
        <v>147</v>
      </c>
      <c r="C420" s="390"/>
      <c r="D420" s="392"/>
      <c r="E420" s="392"/>
      <c r="F420" s="392"/>
      <c r="G420" s="392">
        <f t="shared" si="251"/>
        <v>0</v>
      </c>
      <c r="H420" s="288">
        <f t="shared" si="252"/>
        <v>0</v>
      </c>
      <c r="I420" s="288">
        <f t="shared" si="253"/>
        <v>0</v>
      </c>
      <c r="J420" s="1394"/>
    </row>
    <row r="421" spans="1:10" s="846" customFormat="1" x14ac:dyDescent="0.25">
      <c r="A421" s="724"/>
      <c r="B421" s="725" t="s">
        <v>58</v>
      </c>
      <c r="C421" s="711" t="s">
        <v>480</v>
      </c>
      <c r="D421" s="726">
        <v>25000000</v>
      </c>
      <c r="E421" s="723">
        <f>'План и исполнение'!EU37</f>
        <v>25000000</v>
      </c>
      <c r="F421" s="723">
        <f>'План и исполнение'!EX37</f>
        <v>1371134.02</v>
      </c>
      <c r="G421" s="727">
        <f t="shared" ref="G421" si="255">D421-E421</f>
        <v>0</v>
      </c>
      <c r="H421" s="288">
        <f t="shared" si="252"/>
        <v>0</v>
      </c>
      <c r="I421" s="288">
        <f t="shared" si="253"/>
        <v>0</v>
      </c>
      <c r="J421" s="1394"/>
    </row>
    <row r="422" spans="1:10" s="846" customFormat="1" x14ac:dyDescent="0.25">
      <c r="A422" s="724"/>
      <c r="B422" s="728" t="s">
        <v>146</v>
      </c>
      <c r="C422" s="729"/>
      <c r="D422" s="727">
        <f>D421</f>
        <v>25000000</v>
      </c>
      <c r="E422" s="727">
        <f t="shared" ref="E422:F422" si="256">E421</f>
        <v>25000000</v>
      </c>
      <c r="F422" s="727">
        <f t="shared" si="256"/>
        <v>1371134.02</v>
      </c>
      <c r="G422" s="727">
        <f t="shared" si="251"/>
        <v>0</v>
      </c>
      <c r="H422" s="288">
        <f t="shared" si="252"/>
        <v>0</v>
      </c>
      <c r="I422" s="288">
        <f t="shared" si="253"/>
        <v>0</v>
      </c>
      <c r="J422" s="1394"/>
    </row>
    <row r="423" spans="1:10" s="846" customFormat="1" x14ac:dyDescent="0.25">
      <c r="A423" s="724"/>
      <c r="B423" s="728" t="s">
        <v>147</v>
      </c>
      <c r="C423" s="729"/>
      <c r="D423" s="727"/>
      <c r="E423" s="727"/>
      <c r="F423" s="727"/>
      <c r="G423" s="727">
        <f t="shared" si="251"/>
        <v>0</v>
      </c>
      <c r="H423" s="288">
        <f t="shared" si="252"/>
        <v>0</v>
      </c>
      <c r="I423" s="288">
        <f t="shared" si="253"/>
        <v>0</v>
      </c>
      <c r="J423" s="1406"/>
    </row>
    <row r="424" spans="1:10" s="846" customFormat="1" ht="171.6" x14ac:dyDescent="0.25">
      <c r="A424" s="988"/>
      <c r="B424" s="482" t="s">
        <v>223</v>
      </c>
      <c r="C424" s="144" t="s">
        <v>199</v>
      </c>
      <c r="D424" s="283">
        <v>2725600</v>
      </c>
      <c r="E424" s="454">
        <f>D424</f>
        <v>2725600</v>
      </c>
      <c r="F424" s="393">
        <v>85600</v>
      </c>
      <c r="G424" s="284">
        <f t="shared" ref="G424:G426" si="257">D424-E424</f>
        <v>0</v>
      </c>
      <c r="H424" s="288">
        <f t="shared" si="241"/>
        <v>0</v>
      </c>
      <c r="I424" s="288">
        <f t="shared" si="242"/>
        <v>0</v>
      </c>
      <c r="J424" s="1405"/>
    </row>
    <row r="425" spans="1:10" s="846" customFormat="1" x14ac:dyDescent="0.25">
      <c r="A425" s="388"/>
      <c r="B425" s="389" t="s">
        <v>146</v>
      </c>
      <c r="C425" s="390"/>
      <c r="D425" s="392">
        <f>D424-D426</f>
        <v>2725600</v>
      </c>
      <c r="E425" s="392">
        <f t="shared" ref="E425:F425" si="258">E424-E426</f>
        <v>2725600</v>
      </c>
      <c r="F425" s="392">
        <f t="shared" si="258"/>
        <v>85600</v>
      </c>
      <c r="G425" s="392">
        <f t="shared" si="257"/>
        <v>0</v>
      </c>
      <c r="H425" s="288">
        <f t="shared" si="241"/>
        <v>0</v>
      </c>
      <c r="I425" s="288">
        <f t="shared" si="242"/>
        <v>0</v>
      </c>
      <c r="J425" s="1405"/>
    </row>
    <row r="426" spans="1:10" s="846" customFormat="1" x14ac:dyDescent="0.25">
      <c r="A426" s="388"/>
      <c r="B426" s="389" t="s">
        <v>147</v>
      </c>
      <c r="C426" s="390"/>
      <c r="D426" s="391"/>
      <c r="E426" s="460">
        <f>D426</f>
        <v>0</v>
      </c>
      <c r="F426" s="391"/>
      <c r="G426" s="392">
        <f t="shared" si="257"/>
        <v>0</v>
      </c>
      <c r="H426" s="288">
        <f t="shared" si="241"/>
        <v>0</v>
      </c>
      <c r="I426" s="288">
        <f t="shared" si="242"/>
        <v>0</v>
      </c>
      <c r="J426" s="1405"/>
    </row>
    <row r="427" spans="1:10" s="846" customFormat="1" x14ac:dyDescent="0.25">
      <c r="A427" s="249"/>
      <c r="B427" s="373"/>
      <c r="C427" s="268"/>
      <c r="D427" s="488"/>
      <c r="E427" s="488"/>
      <c r="F427" s="488"/>
      <c r="G427" s="488"/>
      <c r="H427" s="489"/>
      <c r="I427" s="489"/>
      <c r="J427" s="1407"/>
    </row>
    <row r="428" spans="1:10" s="846" customFormat="1" x14ac:dyDescent="0.25">
      <c r="A428" s="185">
        <v>1103</v>
      </c>
      <c r="B428" s="251" t="s">
        <v>325</v>
      </c>
      <c r="C428" s="191"/>
      <c r="D428" s="286">
        <f>D432</f>
        <v>2100000</v>
      </c>
      <c r="E428" s="286">
        <f t="shared" ref="E428:G428" si="259">E432</f>
        <v>2100000</v>
      </c>
      <c r="F428" s="286">
        <f t="shared" si="259"/>
        <v>445814.76</v>
      </c>
      <c r="G428" s="286">
        <f t="shared" si="259"/>
        <v>0</v>
      </c>
      <c r="H428" s="288">
        <f t="shared" ref="H428:H431" si="260">IF(F428&gt;E428,1,0)</f>
        <v>0</v>
      </c>
      <c r="I428" s="288">
        <f t="shared" ref="I428:I431" si="261">IF(G428&lt;0,1,0)</f>
        <v>0</v>
      </c>
      <c r="J428" s="1407"/>
    </row>
    <row r="429" spans="1:10" s="846" customFormat="1" x14ac:dyDescent="0.25">
      <c r="A429" s="381"/>
      <c r="B429" s="382" t="s">
        <v>146</v>
      </c>
      <c r="C429" s="383"/>
      <c r="D429" s="511">
        <f t="shared" ref="D429:G430" si="262">D433</f>
        <v>2100000</v>
      </c>
      <c r="E429" s="511">
        <f t="shared" si="262"/>
        <v>2100000</v>
      </c>
      <c r="F429" s="511">
        <f t="shared" si="262"/>
        <v>445814.76</v>
      </c>
      <c r="G429" s="511">
        <f t="shared" si="262"/>
        <v>0</v>
      </c>
      <c r="H429" s="288">
        <f t="shared" si="260"/>
        <v>0</v>
      </c>
      <c r="I429" s="288">
        <f t="shared" si="261"/>
        <v>0</v>
      </c>
      <c r="J429" s="1407"/>
    </row>
    <row r="430" spans="1:10" s="846" customFormat="1" x14ac:dyDescent="0.25">
      <c r="A430" s="381"/>
      <c r="B430" s="382" t="s">
        <v>147</v>
      </c>
      <c r="C430" s="383"/>
      <c r="D430" s="511">
        <f t="shared" si="262"/>
        <v>0</v>
      </c>
      <c r="E430" s="511">
        <f t="shared" si="262"/>
        <v>0</v>
      </c>
      <c r="F430" s="511">
        <f t="shared" si="262"/>
        <v>0</v>
      </c>
      <c r="G430" s="511">
        <f t="shared" si="262"/>
        <v>0</v>
      </c>
      <c r="H430" s="288">
        <f t="shared" si="260"/>
        <v>0</v>
      </c>
      <c r="I430" s="288">
        <f t="shared" si="261"/>
        <v>0</v>
      </c>
      <c r="J430" s="1407"/>
    </row>
    <row r="431" spans="1:10" s="846" customFormat="1" x14ac:dyDescent="0.25">
      <c r="A431" s="1081"/>
      <c r="B431" s="481" t="s">
        <v>38</v>
      </c>
      <c r="C431" s="189"/>
      <c r="D431" s="285"/>
      <c r="E431" s="187"/>
      <c r="F431" s="187"/>
      <c r="G431" s="284"/>
      <c r="H431" s="288">
        <f t="shared" si="260"/>
        <v>0</v>
      </c>
      <c r="I431" s="288">
        <f t="shared" si="261"/>
        <v>0</v>
      </c>
      <c r="J431" s="1407"/>
    </row>
    <row r="432" spans="1:10" s="846" customFormat="1" ht="184.8" x14ac:dyDescent="0.25">
      <c r="A432" s="1225"/>
      <c r="B432" s="486" t="s">
        <v>551</v>
      </c>
      <c r="C432" s="144" t="s">
        <v>550</v>
      </c>
      <c r="D432" s="283">
        <v>2100000</v>
      </c>
      <c r="E432" s="200">
        <f>'Прочая  субсидия_МР  и  ГО'!F38</f>
        <v>2100000</v>
      </c>
      <c r="F432" s="200">
        <f>'Прочая  субсидия_МР  и  ГО'!G38</f>
        <v>445814.76</v>
      </c>
      <c r="G432" s="284">
        <f t="shared" ref="G432" si="263">D432-E432</f>
        <v>0</v>
      </c>
      <c r="H432" s="288">
        <f t="shared" ref="H432:H434" si="264">IF(F432&gt;E432,1,0)</f>
        <v>0</v>
      </c>
      <c r="I432" s="288">
        <f t="shared" ref="I432:I434" si="265">IF(G432&lt;0,1,0)</f>
        <v>0</v>
      </c>
      <c r="J432" s="1406"/>
    </row>
    <row r="433" spans="1:10" s="846" customFormat="1" x14ac:dyDescent="0.25">
      <c r="A433" s="388"/>
      <c r="B433" s="389" t="s">
        <v>146</v>
      </c>
      <c r="C433" s="390"/>
      <c r="D433" s="392">
        <f>D432</f>
        <v>2100000</v>
      </c>
      <c r="E433" s="392">
        <f t="shared" ref="E433:G433" si="266">E432</f>
        <v>2100000</v>
      </c>
      <c r="F433" s="392">
        <f t="shared" si="266"/>
        <v>445814.76</v>
      </c>
      <c r="G433" s="392">
        <f t="shared" si="266"/>
        <v>0</v>
      </c>
      <c r="H433" s="288">
        <f t="shared" si="264"/>
        <v>0</v>
      </c>
      <c r="I433" s="288">
        <f t="shared" si="265"/>
        <v>0</v>
      </c>
      <c r="J433" s="1406"/>
    </row>
    <row r="434" spans="1:10" s="846" customFormat="1" x14ac:dyDescent="0.25">
      <c r="A434" s="388"/>
      <c r="B434" s="389" t="s">
        <v>147</v>
      </c>
      <c r="C434" s="390"/>
      <c r="D434" s="392"/>
      <c r="E434" s="392"/>
      <c r="F434" s="392"/>
      <c r="G434" s="392"/>
      <c r="H434" s="288">
        <f t="shared" si="264"/>
        <v>0</v>
      </c>
      <c r="I434" s="288">
        <f t="shared" si="265"/>
        <v>0</v>
      </c>
      <c r="J434" s="1406"/>
    </row>
    <row r="435" spans="1:10" s="846" customFormat="1" x14ac:dyDescent="0.25">
      <c r="A435" s="249"/>
      <c r="B435" s="373"/>
      <c r="C435" s="268"/>
      <c r="D435" s="488"/>
      <c r="E435" s="488"/>
      <c r="F435" s="488"/>
      <c r="G435" s="488"/>
      <c r="H435" s="489"/>
      <c r="I435" s="489"/>
      <c r="J435" s="1407"/>
    </row>
    <row r="436" spans="1:10" ht="26.4" x14ac:dyDescent="0.25">
      <c r="A436" s="185">
        <v>1403</v>
      </c>
      <c r="B436" s="251" t="s">
        <v>65</v>
      </c>
      <c r="C436" s="191"/>
      <c r="D436" s="286">
        <f>D443+D440+D446+D449</f>
        <v>767046406.29999995</v>
      </c>
      <c r="E436" s="286">
        <f t="shared" ref="E436:G436" si="267">E443+E440+E446+E449</f>
        <v>720678106.29999995</v>
      </c>
      <c r="F436" s="286">
        <f t="shared" si="267"/>
        <v>23776681.93</v>
      </c>
      <c r="G436" s="286">
        <f t="shared" si="267"/>
        <v>46368300</v>
      </c>
      <c r="H436" s="288">
        <f t="shared" si="228"/>
        <v>0</v>
      </c>
      <c r="I436" s="288">
        <f t="shared" si="225"/>
        <v>0</v>
      </c>
    </row>
    <row r="437" spans="1:10" x14ac:dyDescent="0.25">
      <c r="A437" s="381"/>
      <c r="B437" s="382" t="s">
        <v>146</v>
      </c>
      <c r="C437" s="383"/>
      <c r="D437" s="511">
        <f>D444+D441+D447+D450</f>
        <v>288664578.51999998</v>
      </c>
      <c r="E437" s="511">
        <f t="shared" ref="E437:G437" si="268">E444+E441+E447+E450</f>
        <v>288664578.51999998</v>
      </c>
      <c r="F437" s="511">
        <f t="shared" si="268"/>
        <v>6528298.3299999991</v>
      </c>
      <c r="G437" s="511">
        <f t="shared" si="268"/>
        <v>0</v>
      </c>
      <c r="H437" s="288">
        <f t="shared" si="228"/>
        <v>0</v>
      </c>
      <c r="I437" s="288">
        <f t="shared" si="225"/>
        <v>0</v>
      </c>
    </row>
    <row r="438" spans="1:10" x14ac:dyDescent="0.25">
      <c r="A438" s="381"/>
      <c r="B438" s="382" t="s">
        <v>147</v>
      </c>
      <c r="C438" s="383"/>
      <c r="D438" s="511">
        <f>D445+D442+D448+D451</f>
        <v>478381827.77999997</v>
      </c>
      <c r="E438" s="511">
        <f t="shared" ref="E438:G438" si="269">E445+E442+E448+E451</f>
        <v>432013527.77999997</v>
      </c>
      <c r="F438" s="511">
        <f t="shared" si="269"/>
        <v>17248383.600000001</v>
      </c>
      <c r="G438" s="511">
        <f t="shared" si="269"/>
        <v>46368300</v>
      </c>
      <c r="H438" s="288">
        <f t="shared" si="228"/>
        <v>0</v>
      </c>
      <c r="I438" s="288">
        <f t="shared" si="225"/>
        <v>0</v>
      </c>
    </row>
    <row r="439" spans="1:10" x14ac:dyDescent="0.25">
      <c r="A439" s="193"/>
      <c r="B439" s="481" t="s">
        <v>38</v>
      </c>
      <c r="C439" s="189"/>
      <c r="D439" s="285"/>
      <c r="E439" s="187"/>
      <c r="F439" s="187"/>
      <c r="G439" s="284"/>
      <c r="H439" s="288">
        <f t="shared" si="228"/>
        <v>0</v>
      </c>
      <c r="I439" s="288">
        <f t="shared" si="225"/>
        <v>0</v>
      </c>
    </row>
    <row r="440" spans="1:10" ht="171.6" hidden="1" x14ac:dyDescent="0.25">
      <c r="A440" s="1274"/>
      <c r="B440" s="482" t="s">
        <v>223</v>
      </c>
      <c r="C440" s="144" t="s">
        <v>199</v>
      </c>
      <c r="D440" s="283">
        <f>491442359.29-491442359.29</f>
        <v>0</v>
      </c>
      <c r="E440" s="269"/>
      <c r="F440" s="749"/>
      <c r="G440" s="284">
        <f t="shared" ref="G440:G445" si="270">D440-E440</f>
        <v>0</v>
      </c>
      <c r="H440" s="288">
        <f t="shared" si="228"/>
        <v>0</v>
      </c>
      <c r="I440" s="288">
        <f t="shared" si="225"/>
        <v>0</v>
      </c>
    </row>
    <row r="441" spans="1:10" hidden="1" x14ac:dyDescent="0.25">
      <c r="A441" s="388"/>
      <c r="B441" s="389" t="s">
        <v>146</v>
      </c>
      <c r="C441" s="390"/>
      <c r="D441" s="460">
        <f>D440-D442</f>
        <v>0</v>
      </c>
      <c r="E441" s="460">
        <f>E440-E442</f>
        <v>0</v>
      </c>
      <c r="F441" s="460">
        <f>F440-F442</f>
        <v>0</v>
      </c>
      <c r="G441" s="392">
        <f t="shared" si="270"/>
        <v>0</v>
      </c>
      <c r="H441" s="288">
        <f t="shared" si="228"/>
        <v>0</v>
      </c>
      <c r="I441" s="288">
        <f t="shared" si="225"/>
        <v>0</v>
      </c>
    </row>
    <row r="442" spans="1:10" hidden="1" x14ac:dyDescent="0.25">
      <c r="A442" s="388"/>
      <c r="B442" s="389" t="s">
        <v>147</v>
      </c>
      <c r="C442" s="390"/>
      <c r="D442" s="391"/>
      <c r="E442" s="391"/>
      <c r="F442" s="391"/>
      <c r="G442" s="392">
        <f t="shared" si="270"/>
        <v>0</v>
      </c>
      <c r="H442" s="288">
        <f t="shared" si="228"/>
        <v>0</v>
      </c>
      <c r="I442" s="288">
        <f t="shared" si="225"/>
        <v>0</v>
      </c>
    </row>
    <row r="443" spans="1:10" ht="118.8" x14ac:dyDescent="0.25">
      <c r="A443" s="193"/>
      <c r="B443" s="482" t="s">
        <v>227</v>
      </c>
      <c r="C443" s="144" t="s">
        <v>204</v>
      </c>
      <c r="D443" s="283">
        <f>326928280.5+588298.02</f>
        <v>327516578.51999998</v>
      </c>
      <c r="E443" s="200">
        <f>'Прочая  субсидия_МР  и  ГО'!AD38</f>
        <v>327516578.51999998</v>
      </c>
      <c r="F443" s="200">
        <f>'Прочая  субсидия_МР  и  ГО'!AE38</f>
        <v>6528298.3299999991</v>
      </c>
      <c r="G443" s="284">
        <f t="shared" si="270"/>
        <v>0</v>
      </c>
      <c r="H443" s="288">
        <f t="shared" si="228"/>
        <v>0</v>
      </c>
      <c r="I443" s="288">
        <f t="shared" si="225"/>
        <v>0</v>
      </c>
      <c r="J443" s="1394" t="s">
        <v>801</v>
      </c>
    </row>
    <row r="444" spans="1:10" x14ac:dyDescent="0.25">
      <c r="A444" s="388"/>
      <c r="B444" s="389" t="s">
        <v>146</v>
      </c>
      <c r="C444" s="390"/>
      <c r="D444" s="392">
        <f>D443-D445</f>
        <v>288664578.51999998</v>
      </c>
      <c r="E444" s="392">
        <f t="shared" ref="E444:F444" si="271">E443-E445</f>
        <v>288664578.51999998</v>
      </c>
      <c r="F444" s="392">
        <f t="shared" si="271"/>
        <v>6528298.3299999991</v>
      </c>
      <c r="G444" s="392">
        <f t="shared" si="270"/>
        <v>0</v>
      </c>
      <c r="H444" s="288">
        <f t="shared" si="228"/>
        <v>0</v>
      </c>
      <c r="I444" s="288">
        <f t="shared" si="225"/>
        <v>0</v>
      </c>
    </row>
    <row r="445" spans="1:10" x14ac:dyDescent="0.25">
      <c r="A445" s="388"/>
      <c r="B445" s="389" t="s">
        <v>147</v>
      </c>
      <c r="C445" s="390"/>
      <c r="D445" s="391">
        <v>38852000</v>
      </c>
      <c r="E445" s="391">
        <v>38852000</v>
      </c>
      <c r="F445" s="391"/>
      <c r="G445" s="392">
        <f t="shared" si="270"/>
        <v>0</v>
      </c>
      <c r="H445" s="288">
        <f t="shared" si="228"/>
        <v>0</v>
      </c>
      <c r="I445" s="288">
        <f t="shared" si="225"/>
        <v>0</v>
      </c>
    </row>
    <row r="446" spans="1:10" ht="132" x14ac:dyDescent="0.25">
      <c r="A446" s="249"/>
      <c r="B446" s="482" t="s">
        <v>625</v>
      </c>
      <c r="C446" s="250" t="s">
        <v>624</v>
      </c>
      <c r="D446" s="202">
        <f>128117344.44-18032116.66</f>
        <v>110085227.78</v>
      </c>
      <c r="E446" s="200">
        <f>'План и исполнение'!NT38</f>
        <v>110085227.78</v>
      </c>
      <c r="F446" s="200">
        <f>'План и исполнение'!NW38</f>
        <v>4829547.42</v>
      </c>
      <c r="G446" s="284">
        <f t="shared" ref="G446:G450" si="272">D446-E446</f>
        <v>0</v>
      </c>
      <c r="H446" s="288">
        <f t="shared" ref="H446:H451" si="273">IF(F446&gt;E446,1,0)</f>
        <v>0</v>
      </c>
      <c r="I446" s="288">
        <f t="shared" ref="I446:I451" si="274">IF(G446&lt;0,1,0)</f>
        <v>0</v>
      </c>
      <c r="J446" s="1404">
        <f>D446+D449</f>
        <v>439529827.77999997</v>
      </c>
    </row>
    <row r="447" spans="1:10" x14ac:dyDescent="0.25">
      <c r="A447" s="388"/>
      <c r="B447" s="389" t="s">
        <v>146</v>
      </c>
      <c r="C447" s="390"/>
      <c r="D447" s="391"/>
      <c r="E447" s="391"/>
      <c r="F447" s="391"/>
      <c r="G447" s="392">
        <f t="shared" si="272"/>
        <v>0</v>
      </c>
      <c r="H447" s="288">
        <f t="shared" si="273"/>
        <v>0</v>
      </c>
      <c r="I447" s="288">
        <f t="shared" si="274"/>
        <v>0</v>
      </c>
    </row>
    <row r="448" spans="1:10" x14ac:dyDescent="0.25">
      <c r="A448" s="388"/>
      <c r="B448" s="389" t="s">
        <v>147</v>
      </c>
      <c r="C448" s="390"/>
      <c r="D448" s="392">
        <f>D446-D447</f>
        <v>110085227.78</v>
      </c>
      <c r="E448" s="392">
        <f>E446-E447</f>
        <v>110085227.78</v>
      </c>
      <c r="F448" s="392">
        <f>F446-F447</f>
        <v>4829547.42</v>
      </c>
      <c r="G448" s="392">
        <f t="shared" si="272"/>
        <v>0</v>
      </c>
      <c r="H448" s="288">
        <f t="shared" si="273"/>
        <v>0</v>
      </c>
      <c r="I448" s="288">
        <f t="shared" si="274"/>
        <v>0</v>
      </c>
    </row>
    <row r="449" spans="1:12" x14ac:dyDescent="0.25">
      <c r="A449" s="724"/>
      <c r="B449" s="725" t="s">
        <v>58</v>
      </c>
      <c r="C449" s="744" t="s">
        <v>624</v>
      </c>
      <c r="D449" s="726">
        <v>329444600</v>
      </c>
      <c r="E449" s="723">
        <f>'План и исполнение'!NU38</f>
        <v>283076300</v>
      </c>
      <c r="F449" s="723">
        <f>'План и исполнение'!NX38</f>
        <v>12418836.18</v>
      </c>
      <c r="G449" s="727">
        <f t="shared" si="272"/>
        <v>46368300</v>
      </c>
      <c r="H449" s="288">
        <f t="shared" si="273"/>
        <v>0</v>
      </c>
      <c r="I449" s="288">
        <f t="shared" si="274"/>
        <v>0</v>
      </c>
    </row>
    <row r="450" spans="1:12" x14ac:dyDescent="0.25">
      <c r="A450" s="724"/>
      <c r="B450" s="728" t="s">
        <v>146</v>
      </c>
      <c r="C450" s="729"/>
      <c r="D450" s="730"/>
      <c r="E450" s="730"/>
      <c r="F450" s="730"/>
      <c r="G450" s="727">
        <f t="shared" si="272"/>
        <v>0</v>
      </c>
      <c r="H450" s="288">
        <f t="shared" si="273"/>
        <v>0</v>
      </c>
      <c r="I450" s="288">
        <f t="shared" si="274"/>
        <v>0</v>
      </c>
    </row>
    <row r="451" spans="1:12" x14ac:dyDescent="0.25">
      <c r="A451" s="724"/>
      <c r="B451" s="728" t="s">
        <v>147</v>
      </c>
      <c r="C451" s="729"/>
      <c r="D451" s="727">
        <f>D449</f>
        <v>329444600</v>
      </c>
      <c r="E451" s="727">
        <f t="shared" ref="E451:G451" si="275">E449</f>
        <v>283076300</v>
      </c>
      <c r="F451" s="727">
        <f t="shared" si="275"/>
        <v>12418836.18</v>
      </c>
      <c r="G451" s="727">
        <f t="shared" si="275"/>
        <v>46368300</v>
      </c>
      <c r="H451" s="288">
        <f t="shared" si="273"/>
        <v>0</v>
      </c>
      <c r="I451" s="288">
        <f t="shared" si="274"/>
        <v>0</v>
      </c>
      <c r="J451" s="1404"/>
    </row>
    <row r="452" spans="1:12" x14ac:dyDescent="0.25">
      <c r="A452" s="192"/>
      <c r="B452" s="192"/>
      <c r="C452" s="196"/>
      <c r="D452" s="285"/>
      <c r="E452" s="285"/>
      <c r="F452" s="285"/>
      <c r="G452" s="285"/>
      <c r="H452" s="288">
        <f t="shared" si="228"/>
        <v>0</v>
      </c>
      <c r="I452" s="288">
        <f t="shared" si="225"/>
        <v>0</v>
      </c>
    </row>
    <row r="453" spans="1:12" s="848" customFormat="1" x14ac:dyDescent="0.25">
      <c r="A453" s="384"/>
      <c r="B453" s="385" t="s">
        <v>136</v>
      </c>
      <c r="C453" s="385"/>
      <c r="D453" s="386">
        <f>D436+D428+D387+D379+D325+D311+D294+D227+D201+D183+D155+D130+D108+D70+D53+D40+D8+D369</f>
        <v>6567762423.1600008</v>
      </c>
      <c r="E453" s="386">
        <f>E436+E428+E387+E379+E325+E311+E294+E227+E201+E183+E155+E130+E108+E70+E53+E40+E8+E369</f>
        <v>6405091218.1600008</v>
      </c>
      <c r="F453" s="386">
        <f>F436+F428+F387+F379+F325+F311+F294+F227+F201+F183+F155+F130+F108+F70+F53+F40+F8+F369</f>
        <v>1820130796.27</v>
      </c>
      <c r="G453" s="386">
        <f>G436+G428+G387+G379+G325+G311+G294+G227+G201+G183+G155+G130+G108+G70+G53+G40+G8+G369</f>
        <v>162671205</v>
      </c>
      <c r="H453" s="288">
        <f t="shared" si="228"/>
        <v>0</v>
      </c>
      <c r="I453" s="288">
        <f t="shared" si="225"/>
        <v>0</v>
      </c>
      <c r="J453" s="1394"/>
    </row>
    <row r="454" spans="1:12" s="848" customFormat="1" ht="19.5" customHeight="1" x14ac:dyDescent="0.25">
      <c r="A454" s="381"/>
      <c r="B454" s="387" t="s">
        <v>146</v>
      </c>
      <c r="C454" s="383"/>
      <c r="D454" s="458">
        <f t="shared" ref="D454:G455" si="276">D9+D41+D54+D71+D109+D156+D228+D326+D437+D312+D202+D388+D380+D184+D131+D295+D429+D370</f>
        <v>1883719042.3099999</v>
      </c>
      <c r="E454" s="458">
        <f t="shared" si="276"/>
        <v>1767416183.3099999</v>
      </c>
      <c r="F454" s="458">
        <f t="shared" si="276"/>
        <v>205017416.41000003</v>
      </c>
      <c r="G454" s="458">
        <f t="shared" si="276"/>
        <v>116302859</v>
      </c>
      <c r="H454" s="288">
        <f>IF(F454&gt;E454,1,0)</f>
        <v>0</v>
      </c>
      <c r="I454" s="288">
        <f>IF(G454&lt;0,1,0)</f>
        <v>0</v>
      </c>
      <c r="J454" s="1394"/>
    </row>
    <row r="455" spans="1:12" s="848" customFormat="1" x14ac:dyDescent="0.25">
      <c r="A455" s="381"/>
      <c r="B455" s="387" t="s">
        <v>147</v>
      </c>
      <c r="C455" s="383"/>
      <c r="D455" s="458">
        <f t="shared" si="276"/>
        <v>2872842679.3199997</v>
      </c>
      <c r="E455" s="458">
        <f t="shared" si="276"/>
        <v>2826474379.3199997</v>
      </c>
      <c r="F455" s="458">
        <f t="shared" si="276"/>
        <v>692490927.51000011</v>
      </c>
      <c r="G455" s="458">
        <f t="shared" si="276"/>
        <v>46368300</v>
      </c>
      <c r="H455" s="288">
        <f>IF(F455&gt;E455,1,0)</f>
        <v>0</v>
      </c>
      <c r="I455" s="288">
        <f>IF(G455&lt;0,1,0)</f>
        <v>0</v>
      </c>
      <c r="J455" s="1394"/>
    </row>
    <row r="456" spans="1:12" s="848" customFormat="1" x14ac:dyDescent="0.25">
      <c r="A456" s="381"/>
      <c r="B456" s="387" t="s">
        <v>326</v>
      </c>
      <c r="C456" s="383"/>
      <c r="D456" s="458">
        <f>D230+D204+D186+D158+D133+D43+D111+D297</f>
        <v>1811200701.5300002</v>
      </c>
      <c r="E456" s="458">
        <f t="shared" ref="E456:G456" si="277">E230+E204+E186+E158+E133+E43+E111+E297</f>
        <v>1811200655.5300002</v>
      </c>
      <c r="F456" s="458">
        <f t="shared" si="277"/>
        <v>922622452.3499999</v>
      </c>
      <c r="G456" s="458">
        <f t="shared" si="277"/>
        <v>46</v>
      </c>
      <c r="H456" s="288">
        <f>IF(F456&gt;E456,1,0)</f>
        <v>0</v>
      </c>
      <c r="I456" s="288">
        <f>IF(G456&lt;0,1,0)</f>
        <v>0</v>
      </c>
      <c r="J456" s="1394"/>
    </row>
    <row r="457" spans="1:12" s="848" customFormat="1" x14ac:dyDescent="0.25">
      <c r="A457" s="378"/>
      <c r="B457" s="379"/>
      <c r="C457" s="380"/>
      <c r="D457" s="377">
        <f>D453-D454-D455-D456</f>
        <v>0</v>
      </c>
      <c r="E457" s="377">
        <f t="shared" ref="E457:G457" si="278">E453-E454-E455-E456</f>
        <v>0</v>
      </c>
      <c r="F457" s="377">
        <f t="shared" si="278"/>
        <v>0</v>
      </c>
      <c r="G457" s="377">
        <f t="shared" si="278"/>
        <v>0</v>
      </c>
      <c r="H457" s="849">
        <f>SUM(H8:H455)</f>
        <v>0</v>
      </c>
      <c r="I457" s="849">
        <f>SUM(I8:I455)</f>
        <v>0</v>
      </c>
      <c r="J457" s="1394"/>
    </row>
    <row r="458" spans="1:12" s="848" customFormat="1" x14ac:dyDescent="0.25">
      <c r="A458" s="378"/>
      <c r="B458" s="379"/>
      <c r="C458" s="380"/>
      <c r="D458" s="442" t="s">
        <v>283</v>
      </c>
      <c r="E458" s="850">
        <f>E453-'План и исполнение'!AI37</f>
        <v>0</v>
      </c>
      <c r="F458" s="850">
        <f>F453-'План и исполнение'!AJ37</f>
        <v>0</v>
      </c>
      <c r="G458" s="377"/>
      <c r="H458" s="288"/>
      <c r="I458" s="288"/>
      <c r="J458" s="1394"/>
    </row>
    <row r="459" spans="1:12" s="848" customFormat="1" x14ac:dyDescent="0.25">
      <c r="A459" s="378"/>
      <c r="B459" s="379"/>
      <c r="C459" s="444" t="s">
        <v>148</v>
      </c>
      <c r="D459" s="1570">
        <v>1883719042.3099999</v>
      </c>
      <c r="E459" s="1570">
        <v>1485866503.6400001</v>
      </c>
      <c r="F459" s="1570">
        <v>201225374.08000001</v>
      </c>
      <c r="G459" s="459">
        <f>G453-[1]Субсидия_факт!$K$37*1000</f>
        <v>0</v>
      </c>
      <c r="H459" s="288"/>
      <c r="I459" s="844" t="s">
        <v>229</v>
      </c>
      <c r="J459" s="1394"/>
    </row>
    <row r="460" spans="1:12" s="848" customFormat="1" x14ac:dyDescent="0.25">
      <c r="A460" s="378"/>
      <c r="B460" s="379"/>
      <c r="C460" s="444" t="s">
        <v>45</v>
      </c>
      <c r="D460" s="443">
        <f>D459-D454</f>
        <v>0</v>
      </c>
      <c r="E460" s="443">
        <f>E459-E454+E468+E475</f>
        <v>0</v>
      </c>
      <c r="F460" s="1565">
        <f>F459-F454+F468+F475</f>
        <v>36106588.75999999</v>
      </c>
      <c r="G460" s="1926" t="s">
        <v>876</v>
      </c>
      <c r="H460" s="288"/>
      <c r="I460" s="1916" t="s">
        <v>281</v>
      </c>
      <c r="J460" s="1916"/>
      <c r="K460" s="1916"/>
      <c r="L460" s="1916"/>
    </row>
    <row r="461" spans="1:12" s="848" customFormat="1" x14ac:dyDescent="0.25">
      <c r="A461" s="378"/>
      <c r="B461" s="379"/>
      <c r="C461" s="444" t="s">
        <v>42</v>
      </c>
      <c r="D461" s="1570">
        <v>2872842679.3200002</v>
      </c>
      <c r="E461" s="1570">
        <v>1259087841.3699999</v>
      </c>
      <c r="F461" s="1570">
        <v>193462391.37</v>
      </c>
      <c r="G461" s="1926"/>
      <c r="H461" s="288"/>
      <c r="I461" s="844" t="s">
        <v>229</v>
      </c>
      <c r="J461" s="1394"/>
    </row>
    <row r="462" spans="1:12" s="848" customFormat="1" x14ac:dyDescent="0.25">
      <c r="A462" s="378"/>
      <c r="B462" s="379"/>
      <c r="C462" s="444" t="s">
        <v>45</v>
      </c>
      <c r="D462" s="443">
        <f>D461-D455</f>
        <v>0</v>
      </c>
      <c r="E462" s="748">
        <f>E461-E455+E476+E469</f>
        <v>-237623315.3999998</v>
      </c>
      <c r="F462" s="748">
        <f>F461-F455+F476+F469</f>
        <v>-270183589.44000006</v>
      </c>
      <c r="G462" s="377"/>
      <c r="H462" s="288"/>
      <c r="I462" s="288"/>
      <c r="J462" s="1394"/>
    </row>
    <row r="463" spans="1:12" s="848" customFormat="1" x14ac:dyDescent="0.25">
      <c r="A463" s="378"/>
      <c r="B463" s="379"/>
      <c r="C463" s="444" t="s">
        <v>328</v>
      </c>
      <c r="D463" s="1570">
        <v>1811200701.53</v>
      </c>
      <c r="E463" s="1388">
        <f>E456</f>
        <v>1811200655.5300002</v>
      </c>
      <c r="F463" s="1388">
        <f>F456</f>
        <v>922622452.3499999</v>
      </c>
      <c r="G463" s="377"/>
      <c r="H463" s="288"/>
      <c r="I463" s="288"/>
      <c r="J463" s="1394"/>
    </row>
    <row r="464" spans="1:12" s="848" customFormat="1" x14ac:dyDescent="0.25">
      <c r="A464" s="378"/>
      <c r="B464" s="379"/>
      <c r="C464" s="444" t="s">
        <v>45</v>
      </c>
      <c r="D464" s="1086">
        <f>D463-D456</f>
        <v>0</v>
      </c>
      <c r="E464" s="1086">
        <f t="shared" ref="E464:F464" si="279">E463-E456</f>
        <v>0</v>
      </c>
      <c r="F464" s="1086">
        <f t="shared" si="279"/>
        <v>0</v>
      </c>
      <c r="G464" s="377"/>
      <c r="H464" s="288"/>
      <c r="I464" s="288"/>
      <c r="J464" s="1394"/>
    </row>
    <row r="465" spans="1:10" s="848" customFormat="1" x14ac:dyDescent="0.25">
      <c r="A465" s="378"/>
      <c r="B465" s="379"/>
      <c r="C465" s="380"/>
      <c r="D465" s="377"/>
      <c r="E465" s="1921" t="s">
        <v>167</v>
      </c>
      <c r="F465" s="1922"/>
      <c r="G465" s="377"/>
      <c r="H465" s="288"/>
      <c r="I465" s="288"/>
      <c r="J465" s="1406"/>
    </row>
    <row r="466" spans="1:10" s="848" customFormat="1" x14ac:dyDescent="0.25">
      <c r="A466" s="378"/>
      <c r="B466" s="851"/>
      <c r="C466" s="380"/>
      <c r="D466" s="377"/>
      <c r="E466" s="1925" t="s">
        <v>284</v>
      </c>
      <c r="F466" s="1925"/>
      <c r="G466" s="377"/>
      <c r="H466" s="288"/>
      <c r="I466" s="288"/>
      <c r="J466" s="1394"/>
    </row>
    <row r="467" spans="1:10" s="848" customFormat="1" x14ac:dyDescent="0.25">
      <c r="A467" s="378"/>
      <c r="B467" s="379"/>
      <c r="C467" s="380"/>
      <c r="D467" s="377"/>
      <c r="E467" s="442"/>
      <c r="F467" s="442"/>
      <c r="G467" s="377"/>
      <c r="H467" s="288"/>
      <c r="I467" s="288"/>
      <c r="J467" s="1394"/>
    </row>
    <row r="468" spans="1:10" s="848" customFormat="1" x14ac:dyDescent="0.25">
      <c r="A468" s="378"/>
      <c r="B468" s="379"/>
      <c r="D468" s="444" t="s">
        <v>148</v>
      </c>
      <c r="E468" s="1133">
        <f>E96+E87+E149+E165+E210+E251+E273+E339+E345+E407+E351+E236+E216+E357+E401+E419+E395+E265+E193+E413+E28+E285+E124+E177+E447+E257+E19+E245+E373+E300</f>
        <v>66734779.68</v>
      </c>
      <c r="F468" s="1133">
        <f>F96+F87+F149+F165+F210+F251+F273+F339+F345+F407+F351+F236+F216+F357+F401+F419+F395+F265+F193+F413+F28+F285+F124+F177+F447+F257+F19+F245+F373+F300</f>
        <v>10387076.640000001</v>
      </c>
      <c r="G468" s="377"/>
      <c r="H468" s="288"/>
      <c r="I468" s="288"/>
      <c r="J468" s="1394"/>
    </row>
    <row r="469" spans="1:10" s="848" customFormat="1" x14ac:dyDescent="0.25">
      <c r="A469" s="378"/>
      <c r="B469" s="379"/>
      <c r="D469" s="444" t="s">
        <v>42</v>
      </c>
      <c r="E469" s="1133">
        <f>E97+E88+E150+E166+E211+E252+E274+E340+E346+E408+E352+E237+E217+E358+E402+E420+E396+E266+E194+E414+E29+E286+E125+E178+E448+E258+E20+E246+E374+E301</f>
        <v>224093122.55000001</v>
      </c>
      <c r="F469" s="1133">
        <f>F97+F88+F150+F166+F211+F252+F274+F340+F346+F408+F352+F237+F217+F358+F402+F420+F396+F266+F194+F414+F29+F286+F125+F178+F448+F258+F20+F246+F374+F301</f>
        <v>38422021.780000001</v>
      </c>
      <c r="G469" s="377"/>
      <c r="H469" s="288"/>
      <c r="I469" s="288"/>
      <c r="J469" s="1394"/>
    </row>
    <row r="470" spans="1:10" s="848" customFormat="1" x14ac:dyDescent="0.25">
      <c r="A470" s="378"/>
      <c r="B470" s="379"/>
      <c r="D470" s="444" t="s">
        <v>328</v>
      </c>
      <c r="E470" s="852">
        <f>E275+E267+E195+E167+E259</f>
        <v>190337185.89000002</v>
      </c>
      <c r="F470" s="852">
        <f>F275+F267+F195+F167+F259</f>
        <v>137506794.54000002</v>
      </c>
      <c r="G470" s="377"/>
      <c r="H470" s="288"/>
      <c r="I470" s="288"/>
      <c r="J470" s="1394"/>
    </row>
    <row r="471" spans="1:10" s="848" customFormat="1" ht="29.4" customHeight="1" x14ac:dyDescent="0.25">
      <c r="A471" s="378"/>
      <c r="B471" s="379"/>
      <c r="C471" s="254"/>
      <c r="D471" s="853"/>
      <c r="E471" s="1923" t="s">
        <v>453</v>
      </c>
      <c r="F471" s="1924"/>
      <c r="G471" s="377"/>
      <c r="H471" s="288"/>
      <c r="I471" s="288"/>
      <c r="J471" s="1394"/>
    </row>
    <row r="472" spans="1:10" s="848" customFormat="1" x14ac:dyDescent="0.25">
      <c r="A472" s="378"/>
      <c r="B472" s="379"/>
      <c r="C472" s="380"/>
      <c r="D472" s="377"/>
      <c r="E472" s="377"/>
      <c r="F472" s="377"/>
      <c r="G472" s="377"/>
      <c r="H472" s="288"/>
      <c r="I472" s="288"/>
      <c r="J472" s="1394"/>
    </row>
    <row r="473" spans="1:10" s="848" customFormat="1" x14ac:dyDescent="0.25">
      <c r="A473" s="378"/>
      <c r="B473" s="379"/>
      <c r="C473" s="380"/>
      <c r="D473" s="377"/>
      <c r="E473" s="377"/>
      <c r="F473" s="377"/>
      <c r="G473" s="377"/>
      <c r="H473" s="288"/>
      <c r="I473" s="288"/>
      <c r="J473" s="1394"/>
    </row>
    <row r="474" spans="1:10" s="848" customFormat="1" x14ac:dyDescent="0.25">
      <c r="A474" s="378"/>
      <c r="B474" s="379"/>
      <c r="C474" s="1920" t="s">
        <v>454</v>
      </c>
      <c r="D474" s="1920"/>
      <c r="E474" s="1920"/>
      <c r="F474" s="1920"/>
      <c r="G474" s="1920"/>
      <c r="H474" s="288"/>
      <c r="I474" s="288"/>
      <c r="J474" s="1394"/>
    </row>
    <row r="475" spans="1:10" s="848" customFormat="1" ht="14.1" customHeight="1" x14ac:dyDescent="0.25">
      <c r="A475" s="378"/>
      <c r="B475" s="379"/>
      <c r="C475" s="731" t="s">
        <v>209</v>
      </c>
      <c r="D475" s="732">
        <f>D169+D213+D254+D342+D348+D410+D277+D152+D99+D90+D354+D360+D239+D220+D404+D416+D31+D288+D127+D180+D450+D197+D269+D398+D422+D261+D22+D248+D376+D304</f>
        <v>215480609.99000001</v>
      </c>
      <c r="E475" s="732">
        <f t="shared" ref="E475:G475" si="280">E169+E213+E254+E342+E348+E410+E277+E152+E99+E90+E354+E360+E239+E220+E404+E416+E31+E288+E127+E180+E450+E197+E269+E398+E422+E261+E22+E248+E376+E304</f>
        <v>214814899.99000001</v>
      </c>
      <c r="F475" s="732">
        <f t="shared" si="280"/>
        <v>29511554.450000003</v>
      </c>
      <c r="G475" s="732">
        <f t="shared" si="280"/>
        <v>665710</v>
      </c>
      <c r="H475" s="288"/>
      <c r="I475" s="288"/>
      <c r="J475" s="1394"/>
    </row>
    <row r="476" spans="1:10" s="848" customFormat="1" x14ac:dyDescent="0.25">
      <c r="A476" s="378"/>
      <c r="B476" s="379"/>
      <c r="C476" s="731" t="s">
        <v>210</v>
      </c>
      <c r="D476" s="732">
        <f>D170+D214+D255+D343+D349+D411+D278+D153+D100+D91+D355+D361+D240+D221+D405+D417+D32+D289+D128+D181+D451+D198+D270+D399+D423+D262+D23+D249+D377+D305</f>
        <v>1152038400</v>
      </c>
      <c r="E476" s="732">
        <f>E170+E214+E255+E343+E349+E411+E278+E153+E100+E91+E355+E361+E240+E221+E405+E417+E32+E289+E128+E181+E451+E198+E270+E399+E423+E262+E23+E249+E377+E305</f>
        <v>1105670100</v>
      </c>
      <c r="F476" s="732">
        <f t="shared" ref="F476:G476" si="281">F170+F214+F255+F343+F349+F411+F278+F153+F100+F91+F355+F361+F240+F221+F405+F417+F32+F289+F128+F181+F451+F198+F270+F399+F423+F262+F23+F249+F377+F305</f>
        <v>190422924.92000002</v>
      </c>
      <c r="G476" s="732">
        <f t="shared" si="281"/>
        <v>46368300</v>
      </c>
      <c r="H476" s="288"/>
      <c r="I476" s="288"/>
      <c r="J476" s="1394"/>
    </row>
    <row r="477" spans="1:10" s="848" customFormat="1" x14ac:dyDescent="0.25">
      <c r="A477" s="378"/>
      <c r="B477" s="379"/>
      <c r="C477" s="731" t="s">
        <v>329</v>
      </c>
      <c r="D477" s="732">
        <f>D279+D199+D171+D271+D222+D263+D116+D306</f>
        <v>1317746788.46</v>
      </c>
      <c r="E477" s="732">
        <f t="shared" ref="E477:G477" si="282">E279+E199+E171+E271+E222+E263+E116+E306</f>
        <v>1317746788.46</v>
      </c>
      <c r="F477" s="732">
        <f t="shared" si="282"/>
        <v>563917969.25999999</v>
      </c>
      <c r="G477" s="732">
        <f t="shared" si="282"/>
        <v>0</v>
      </c>
      <c r="H477" s="288"/>
      <c r="I477" s="288"/>
      <c r="J477" s="1394"/>
    </row>
    <row r="478" spans="1:10" s="848" customFormat="1" x14ac:dyDescent="0.25">
      <c r="A478" s="378"/>
      <c r="B478" s="379"/>
      <c r="C478" s="731" t="s">
        <v>15</v>
      </c>
      <c r="D478" s="732">
        <f>SUM(D475:D477)</f>
        <v>2685265798.4499998</v>
      </c>
      <c r="E478" s="732">
        <f t="shared" ref="E478:G478" si="283">SUM(E475:E477)</f>
        <v>2638231788.4499998</v>
      </c>
      <c r="F478" s="732">
        <f t="shared" si="283"/>
        <v>783852448.63</v>
      </c>
      <c r="G478" s="732">
        <f t="shared" si="283"/>
        <v>47034010</v>
      </c>
      <c r="H478" s="288"/>
      <c r="I478" s="288"/>
      <c r="J478" s="1394"/>
    </row>
    <row r="479" spans="1:10" s="848" customFormat="1" x14ac:dyDescent="0.25">
      <c r="A479" s="378"/>
      <c r="B479" s="379"/>
      <c r="C479" s="380"/>
      <c r="D479" s="765">
        <f>D478-D483</f>
        <v>1.9999980926513672E-2</v>
      </c>
      <c r="E479" s="377"/>
      <c r="F479" s="377"/>
      <c r="G479" s="377"/>
      <c r="H479" s="288"/>
      <c r="I479" s="288"/>
      <c r="J479" s="1394"/>
    </row>
    <row r="480" spans="1:10" s="848" customFormat="1" ht="27.6" x14ac:dyDescent="0.25">
      <c r="A480" s="378"/>
      <c r="B480" s="379"/>
      <c r="C480" s="380"/>
      <c r="D480" s="736" t="s">
        <v>266</v>
      </c>
      <c r="E480" s="377"/>
      <c r="F480" s="377"/>
      <c r="G480" s="377"/>
      <c r="H480" s="288"/>
      <c r="I480" s="288"/>
      <c r="J480" s="1394"/>
    </row>
    <row r="481" spans="1:10" s="848" customFormat="1" x14ac:dyDescent="0.25">
      <c r="A481" s="378"/>
      <c r="B481" s="379"/>
      <c r="C481" s="380"/>
      <c r="D481" s="736"/>
      <c r="E481" s="377"/>
      <c r="F481" s="377"/>
      <c r="G481" s="377"/>
      <c r="H481" s="288"/>
      <c r="I481" s="288"/>
      <c r="J481" s="1394"/>
    </row>
    <row r="482" spans="1:10" s="848" customFormat="1" x14ac:dyDescent="0.25">
      <c r="A482" s="378"/>
      <c r="B482" s="379"/>
      <c r="C482" s="441"/>
      <c r="D482" s="750" t="s">
        <v>44</v>
      </c>
      <c r="E482" s="377"/>
      <c r="F482" s="750" t="s">
        <v>44</v>
      </c>
      <c r="G482" s="377"/>
      <c r="H482" s="288"/>
      <c r="I482" s="288"/>
      <c r="J482" s="1394"/>
    </row>
    <row r="483" spans="1:10" s="848" customFormat="1" ht="41.4" x14ac:dyDescent="0.25">
      <c r="A483" s="378"/>
      <c r="B483" s="379"/>
      <c r="C483" s="282" t="s">
        <v>280</v>
      </c>
      <c r="D483" s="854">
        <f>SUM(D487:D488)</f>
        <v>2685265798.4299998</v>
      </c>
      <c r="F483" s="854">
        <f>SUM(F487:F488)</f>
        <v>783852448.63999999</v>
      </c>
      <c r="G483" s="377"/>
      <c r="H483" s="288"/>
      <c r="I483" s="288"/>
      <c r="J483" s="1394"/>
    </row>
    <row r="484" spans="1:10" s="848" customFormat="1" x14ac:dyDescent="0.25">
      <c r="A484" s="378"/>
      <c r="B484" s="379"/>
      <c r="C484" s="441" t="s">
        <v>164</v>
      </c>
      <c r="D484" s="975">
        <f>D483-D478</f>
        <v>-1.9999980926513672E-2</v>
      </c>
      <c r="E484" s="377"/>
      <c r="F484" s="751">
        <f>F483-F478</f>
        <v>9.9999904632568359E-3</v>
      </c>
      <c r="G484" s="377"/>
      <c r="H484" s="288"/>
      <c r="I484" s="288"/>
      <c r="J484" s="1394"/>
    </row>
    <row r="485" spans="1:10" s="848" customFormat="1" x14ac:dyDescent="0.25">
      <c r="A485" s="378"/>
      <c r="B485" s="379"/>
      <c r="C485" s="380"/>
      <c r="D485" s="377"/>
      <c r="E485" s="377"/>
      <c r="F485" s="377"/>
      <c r="G485" s="377"/>
      <c r="H485" s="288"/>
      <c r="I485" s="288"/>
      <c r="J485" s="1394"/>
    </row>
    <row r="486" spans="1:10" s="848" customFormat="1" ht="14.4" thickBot="1" x14ac:dyDescent="0.3">
      <c r="A486" s="378"/>
      <c r="B486" s="379"/>
      <c r="C486" s="380"/>
      <c r="D486" s="377"/>
      <c r="E486" s="377"/>
      <c r="F486" s="377"/>
      <c r="G486" s="377"/>
      <c r="H486" s="288"/>
      <c r="I486" s="288"/>
      <c r="J486" s="1394"/>
    </row>
    <row r="487" spans="1:10" s="848" customFormat="1" ht="55.8" thickBot="1" x14ac:dyDescent="0.3">
      <c r="A487" s="378"/>
      <c r="B487" s="379"/>
      <c r="C487" s="380"/>
      <c r="D487" s="1635">
        <v>2684554609.9699998</v>
      </c>
      <c r="E487" s="282" t="s">
        <v>911</v>
      </c>
      <c r="F487" s="1635">
        <v>783141260.17999995</v>
      </c>
      <c r="G487" s="377"/>
      <c r="H487" s="288"/>
      <c r="I487" s="288"/>
      <c r="J487" s="1394"/>
    </row>
    <row r="488" spans="1:10" s="848" customFormat="1" ht="42" thickBot="1" x14ac:dyDescent="0.3">
      <c r="A488" s="378"/>
      <c r="B488" s="379"/>
      <c r="C488" s="380"/>
      <c r="D488" s="1599">
        <f>D113</f>
        <v>711188.46</v>
      </c>
      <c r="E488" s="269" t="s">
        <v>778</v>
      </c>
      <c r="F488" s="1599">
        <f>F113</f>
        <v>711188.46</v>
      </c>
      <c r="G488" s="377"/>
      <c r="H488" s="288"/>
      <c r="I488" s="288"/>
      <c r="J488" s="1593"/>
    </row>
    <row r="489" spans="1:10" s="848" customFormat="1" x14ac:dyDescent="0.25">
      <c r="A489" s="378"/>
      <c r="B489" s="379"/>
      <c r="C489" s="380"/>
      <c r="D489" s="377"/>
      <c r="E489" s="377"/>
      <c r="F489" s="377"/>
      <c r="G489" s="377"/>
      <c r="H489" s="288"/>
      <c r="I489" s="288"/>
      <c r="J489" s="1394"/>
    </row>
    <row r="490" spans="1:10" s="848" customFormat="1" x14ac:dyDescent="0.25">
      <c r="A490" s="378"/>
      <c r="B490" s="379"/>
      <c r="C490" s="380"/>
      <c r="D490" s="377"/>
      <c r="E490" s="377"/>
      <c r="F490" s="377"/>
      <c r="G490" s="377"/>
      <c r="H490" s="288"/>
      <c r="I490" s="288"/>
      <c r="J490" s="1394"/>
    </row>
    <row r="491" spans="1:10" s="848" customFormat="1" x14ac:dyDescent="0.25">
      <c r="A491" s="378"/>
      <c r="B491" s="379"/>
      <c r="C491" s="380"/>
      <c r="D491" s="377"/>
      <c r="E491" s="441"/>
      <c r="F491" s="444" t="s">
        <v>44</v>
      </c>
      <c r="G491" s="377"/>
      <c r="H491" s="288"/>
      <c r="I491" s="288"/>
      <c r="J491" s="1394"/>
    </row>
    <row r="492" spans="1:10" s="848" customFormat="1" x14ac:dyDescent="0.25">
      <c r="A492" s="378"/>
      <c r="B492" s="379"/>
      <c r="C492" s="380"/>
      <c r="D492" s="377"/>
      <c r="E492" s="441" t="s">
        <v>211</v>
      </c>
      <c r="F492" s="1570">
        <v>656384338.75</v>
      </c>
      <c r="G492" s="377"/>
      <c r="H492" s="288"/>
      <c r="I492" s="844" t="s">
        <v>796</v>
      </c>
      <c r="J492" s="1394"/>
    </row>
    <row r="493" spans="1:10" s="848" customFormat="1" x14ac:dyDescent="0.25">
      <c r="A493" s="378"/>
      <c r="B493" s="379"/>
      <c r="C493" s="380"/>
      <c r="D493" s="377"/>
      <c r="E493" s="441" t="s">
        <v>164</v>
      </c>
      <c r="F493" s="459">
        <f>F492-F461-F476-F469</f>
        <v>234077000.67999998</v>
      </c>
      <c r="G493" s="377"/>
      <c r="H493" s="288"/>
      <c r="I493" s="288"/>
      <c r="J493" s="1394"/>
    </row>
    <row r="494" spans="1:10" s="848" customFormat="1" x14ac:dyDescent="0.25">
      <c r="A494" s="378"/>
      <c r="B494" s="379"/>
      <c r="C494" s="380"/>
      <c r="D494" s="377"/>
      <c r="E494" s="377"/>
      <c r="F494" s="377"/>
      <c r="G494" s="377"/>
      <c r="H494" s="288"/>
      <c r="I494" s="288"/>
      <c r="J494" s="1394"/>
    </row>
    <row r="495" spans="1:10" s="848" customFormat="1" x14ac:dyDescent="0.25">
      <c r="A495" s="378"/>
      <c r="B495" s="379"/>
      <c r="C495" s="380"/>
      <c r="D495" s="377"/>
      <c r="E495" s="377"/>
      <c r="F495" s="377"/>
      <c r="G495" s="377"/>
      <c r="H495" s="288"/>
      <c r="I495" s="288"/>
      <c r="J495" s="1394"/>
    </row>
    <row r="496" spans="1:10" ht="18" thickBot="1" x14ac:dyDescent="0.3">
      <c r="C496" s="254" t="s">
        <v>43</v>
      </c>
      <c r="D496" s="1020">
        <v>6567096713.1599998</v>
      </c>
      <c r="E496" s="855"/>
      <c r="F496" s="850"/>
    </row>
    <row r="497" spans="1:10" ht="14.4" thickBot="1" x14ac:dyDescent="0.3">
      <c r="C497" s="254" t="s">
        <v>44</v>
      </c>
      <c r="D497" s="1387">
        <v>6567762423.1599998</v>
      </c>
      <c r="E497" s="856"/>
      <c r="F497" s="857">
        <f>[1]Субсидия_факт!$E$36</f>
        <v>6592632.3494500006</v>
      </c>
      <c r="G497" s="858">
        <f>F497*1000-D453</f>
        <v>24869926.289999962</v>
      </c>
      <c r="I497" s="844" t="s">
        <v>796</v>
      </c>
    </row>
    <row r="498" spans="1:10" ht="26.4" x14ac:dyDescent="0.25">
      <c r="D498" s="198"/>
      <c r="E498" s="850"/>
      <c r="F498" s="734" t="s">
        <v>261</v>
      </c>
      <c r="G498" s="734" t="s">
        <v>262</v>
      </c>
    </row>
    <row r="499" spans="1:10" ht="15.6" x14ac:dyDescent="0.25">
      <c r="B499" s="733" t="s">
        <v>45</v>
      </c>
      <c r="C499" s="254" t="s">
        <v>43</v>
      </c>
      <c r="D499" s="735">
        <f>D496-D453</f>
        <v>-665710.00000095367</v>
      </c>
      <c r="E499" s="850"/>
      <c r="F499" s="850"/>
      <c r="G499" s="859">
        <f>F497*1000-D497</f>
        <v>24869926.290000916</v>
      </c>
    </row>
    <row r="500" spans="1:10" ht="15.6" x14ac:dyDescent="0.25">
      <c r="C500" s="254" t="s">
        <v>44</v>
      </c>
      <c r="D500" s="735">
        <f>D497-D453</f>
        <v>0</v>
      </c>
      <c r="F500" s="860"/>
      <c r="G500" s="734" t="s">
        <v>263</v>
      </c>
    </row>
    <row r="501" spans="1:10" s="846" customFormat="1" x14ac:dyDescent="0.25">
      <c r="C501" s="255"/>
      <c r="D501" s="255"/>
      <c r="H501" s="861"/>
      <c r="I501" s="861"/>
      <c r="J501" s="1405"/>
    </row>
    <row r="502" spans="1:10" s="846" customFormat="1" x14ac:dyDescent="0.25">
      <c r="C502" s="255"/>
      <c r="D502" s="255"/>
      <c r="E502" s="862">
        <f>E503-'План и исполнение'!AM38</f>
        <v>0</v>
      </c>
      <c r="F502" s="862">
        <f>F503-'План и исполнение'!AR38</f>
        <v>0</v>
      </c>
      <c r="H502" s="861"/>
      <c r="I502" s="861"/>
      <c r="J502" s="1405"/>
    </row>
    <row r="503" spans="1:10" ht="171.6" x14ac:dyDescent="0.25">
      <c r="A503" s="1915"/>
      <c r="B503" s="482" t="s">
        <v>223</v>
      </c>
      <c r="C503" s="144" t="s">
        <v>199</v>
      </c>
      <c r="D503" s="456">
        <f t="shared" ref="D503:G505" si="284">D365+D290+D223+D12+D383+D440+D307+D321+D424</f>
        <v>439133969.88999999</v>
      </c>
      <c r="E503" s="456">
        <f t="shared" si="284"/>
        <v>422415320.88999999</v>
      </c>
      <c r="F503" s="456">
        <f t="shared" si="284"/>
        <v>45286581.299999997</v>
      </c>
      <c r="G503" s="456">
        <f t="shared" si="284"/>
        <v>16718649</v>
      </c>
      <c r="H503" s="288">
        <f>IF(F503&gt;E503,1,0)</f>
        <v>0</v>
      </c>
      <c r="I503" s="288">
        <f>IF(G503&lt;0,1,0)</f>
        <v>0</v>
      </c>
    </row>
    <row r="504" spans="1:10" x14ac:dyDescent="0.25">
      <c r="A504" s="1915"/>
      <c r="B504" s="951" t="s">
        <v>146</v>
      </c>
      <c r="C504" s="952"/>
      <c r="D504" s="953">
        <f t="shared" si="284"/>
        <v>383387983.19999999</v>
      </c>
      <c r="E504" s="953">
        <f t="shared" si="284"/>
        <v>366669334.19999999</v>
      </c>
      <c r="F504" s="953">
        <f t="shared" si="284"/>
        <v>45286581.299999997</v>
      </c>
      <c r="G504" s="953">
        <f t="shared" si="284"/>
        <v>16718649</v>
      </c>
      <c r="H504" s="288">
        <f>IF(F504&gt;E504,1,0)</f>
        <v>0</v>
      </c>
      <c r="I504" s="288">
        <f>IF(G504&lt;0,1,0)</f>
        <v>0</v>
      </c>
    </row>
    <row r="505" spans="1:10" x14ac:dyDescent="0.25">
      <c r="A505" s="1915"/>
      <c r="B505" s="951" t="s">
        <v>147</v>
      </c>
      <c r="C505" s="954"/>
      <c r="D505" s="953">
        <f t="shared" si="284"/>
        <v>55745986.689999998</v>
      </c>
      <c r="E505" s="953">
        <f t="shared" si="284"/>
        <v>55745986.689999998</v>
      </c>
      <c r="F505" s="953">
        <f t="shared" si="284"/>
        <v>0</v>
      </c>
      <c r="G505" s="953">
        <f t="shared" si="284"/>
        <v>0</v>
      </c>
      <c r="H505" s="288">
        <f>IF(F505&gt;E505,1,0)</f>
        <v>0</v>
      </c>
      <c r="I505" s="288">
        <f>IF(G505&lt;0,1,0)</f>
        <v>0</v>
      </c>
    </row>
    <row r="509" spans="1:10" x14ac:dyDescent="0.25">
      <c r="B509" s="845" t="s">
        <v>797</v>
      </c>
    </row>
  </sheetData>
  <mergeCells count="10">
    <mergeCell ref="A503:A505"/>
    <mergeCell ref="I460:L460"/>
    <mergeCell ref="A2:G2"/>
    <mergeCell ref="A3:G3"/>
    <mergeCell ref="A4:G4"/>
    <mergeCell ref="C474:G474"/>
    <mergeCell ref="E465:F465"/>
    <mergeCell ref="E471:F471"/>
    <mergeCell ref="E466:F466"/>
    <mergeCell ref="G460:G461"/>
  </mergeCells>
  <phoneticPr fontId="0" type="noConversion"/>
  <pageMargins left="0.78740157480314965" right="0.39370078740157483" top="0.59055118110236227" bottom="0.78740157480314965" header="0.51181102362204722" footer="0.51181102362204722"/>
  <pageSetup paperSize="9" scale="56" fitToHeight="15" orientation="portrait" horizontalDpi="300" verticalDpi="300" r:id="rId1"/>
  <headerFooter alignWithMargins="0">
    <oddFooter>&amp;L&amp;P&amp;R&amp;Z&amp;F&amp;A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2:J58"/>
  <sheetViews>
    <sheetView zoomScale="80" zoomScaleNormal="80" workbookViewId="0">
      <pane xSplit="1" ySplit="7" topLeftCell="B30" activePane="bottomRight" state="frozen"/>
      <selection pane="topRight" activeCell="B1" sqref="B1"/>
      <selection pane="bottomLeft" activeCell="A6" sqref="A6"/>
      <selection pane="bottomRight" activeCell="D54" sqref="D54"/>
    </sheetView>
  </sheetViews>
  <sheetFormatPr defaultColWidth="9.109375" defaultRowHeight="13.8" x14ac:dyDescent="0.25"/>
  <cols>
    <col min="1" max="1" width="12" style="358" customWidth="1"/>
    <col min="2" max="2" width="62.109375" style="358" customWidth="1"/>
    <col min="3" max="3" width="17.44140625" style="358" customWidth="1"/>
    <col min="4" max="4" width="21.33203125" style="358" customWidth="1"/>
    <col min="5" max="5" width="21.5546875" style="358" customWidth="1"/>
    <col min="6" max="7" width="20.109375" style="358" customWidth="1"/>
    <col min="8" max="8" width="11.44140625" style="358" bestFit="1" customWidth="1"/>
    <col min="9" max="9" width="11.44140625" style="496" bestFit="1" customWidth="1"/>
    <col min="10" max="10" width="16.5546875" style="358" bestFit="1" customWidth="1"/>
    <col min="11" max="16384" width="9.109375" style="358"/>
  </cols>
  <sheetData>
    <row r="2" spans="1:10" ht="15.6" x14ac:dyDescent="0.25">
      <c r="A2" s="1907" t="s">
        <v>462</v>
      </c>
      <c r="B2" s="1907"/>
      <c r="C2" s="1907"/>
      <c r="D2" s="1907"/>
      <c r="E2" s="1907"/>
      <c r="F2" s="1907"/>
      <c r="G2" s="1907"/>
    </row>
    <row r="3" spans="1:10" ht="15.6" x14ac:dyDescent="0.25">
      <c r="A3" s="1908" t="str">
        <f>'План и исполнение'!F3</f>
        <v>ПО  СОСТОЯНИЮ  НА  1  ИЮЛЯ  2020  ГОДА</v>
      </c>
      <c r="B3" s="1908"/>
      <c r="C3" s="1908"/>
      <c r="D3" s="1908"/>
      <c r="E3" s="1908"/>
      <c r="F3" s="1908"/>
      <c r="G3" s="1908"/>
    </row>
    <row r="4" spans="1:10" ht="15.6" x14ac:dyDescent="0.25">
      <c r="A4" s="1928" t="s">
        <v>138</v>
      </c>
      <c r="B4" s="1928"/>
      <c r="C4" s="1928"/>
      <c r="D4" s="1928"/>
      <c r="E4" s="1928"/>
      <c r="F4" s="1928"/>
      <c r="G4" s="1928"/>
    </row>
    <row r="6" spans="1:10" x14ac:dyDescent="0.25">
      <c r="F6" s="358" t="s">
        <v>20</v>
      </c>
    </row>
    <row r="7" spans="1:10" s="173" customFormat="1" ht="26.4" x14ac:dyDescent="0.25">
      <c r="A7" s="183" t="s">
        <v>112</v>
      </c>
      <c r="B7" s="183" t="s">
        <v>159</v>
      </c>
      <c r="C7" s="183" t="s">
        <v>18</v>
      </c>
      <c r="D7" s="183" t="s">
        <v>13</v>
      </c>
      <c r="E7" s="183" t="s">
        <v>161</v>
      </c>
      <c r="F7" s="183" t="s">
        <v>4</v>
      </c>
      <c r="G7" s="183" t="s">
        <v>160</v>
      </c>
      <c r="I7" s="395"/>
    </row>
    <row r="8" spans="1:10" s="173" customFormat="1" hidden="1" x14ac:dyDescent="0.25">
      <c r="A8" s="185" t="s">
        <v>75</v>
      </c>
      <c r="B8" s="251" t="s">
        <v>169</v>
      </c>
      <c r="C8" s="194"/>
      <c r="D8" s="197">
        <f>SUM(D10:D10)</f>
        <v>0</v>
      </c>
      <c r="E8" s="197">
        <f>SUM(E10:E10)</f>
        <v>0</v>
      </c>
      <c r="F8" s="197">
        <f>SUM(F10:F10)</f>
        <v>0</v>
      </c>
      <c r="G8" s="197">
        <f>SUM(G10:G10)</f>
        <v>0</v>
      </c>
      <c r="H8" s="288">
        <f>IF(F8&gt;E8,1,0)</f>
        <v>0</v>
      </c>
      <c r="I8" s="288">
        <f>IF(G8&lt;0,1,0)</f>
        <v>0</v>
      </c>
    </row>
    <row r="9" spans="1:10" s="173" customFormat="1" hidden="1" x14ac:dyDescent="0.25">
      <c r="A9" s="186"/>
      <c r="B9" s="481" t="s">
        <v>38</v>
      </c>
      <c r="C9" s="195"/>
      <c r="D9" s="195"/>
      <c r="E9" s="199"/>
      <c r="F9" s="199"/>
      <c r="G9" s="195"/>
      <c r="H9" s="288">
        <f>IF(F9&gt;E9,1,0)</f>
        <v>0</v>
      </c>
      <c r="I9" s="288">
        <f>IF(G9&lt;0,1,0)</f>
        <v>0</v>
      </c>
    </row>
    <row r="10" spans="1:10" s="173" customFormat="1" ht="52.8" hidden="1" x14ac:dyDescent="0.25">
      <c r="A10" s="1103"/>
      <c r="B10" s="486" t="s">
        <v>170</v>
      </c>
      <c r="C10" s="457" t="s">
        <v>207</v>
      </c>
      <c r="D10" s="1305"/>
      <c r="E10" s="454"/>
      <c r="F10" s="454"/>
      <c r="G10" s="188">
        <f>D10-E10</f>
        <v>0</v>
      </c>
      <c r="H10" s="288">
        <f>IF(F10&gt;E10,1,0)</f>
        <v>0</v>
      </c>
      <c r="I10" s="288">
        <f>IF(G10&lt;0,1,0)</f>
        <v>0</v>
      </c>
    </row>
    <row r="11" spans="1:10" s="173" customFormat="1" hidden="1" x14ac:dyDescent="0.25">
      <c r="A11" s="183"/>
      <c r="B11" s="183"/>
      <c r="C11" s="183"/>
      <c r="D11" s="183"/>
      <c r="E11" s="183"/>
      <c r="F11" s="183"/>
      <c r="G11" s="183"/>
      <c r="I11" s="395"/>
    </row>
    <row r="12" spans="1:10" s="173" customFormat="1" x14ac:dyDescent="0.25">
      <c r="A12" s="185" t="s">
        <v>123</v>
      </c>
      <c r="B12" s="251" t="s">
        <v>150</v>
      </c>
      <c r="C12" s="194"/>
      <c r="D12" s="197">
        <f>SUM(D13:D20)</f>
        <v>1221087457</v>
      </c>
      <c r="E12" s="197">
        <f t="shared" ref="E12:G12" si="0">SUM(E13:E20)</f>
        <v>1221087457</v>
      </c>
      <c r="F12" s="197">
        <f t="shared" si="0"/>
        <v>187523454.08000004</v>
      </c>
      <c r="G12" s="197">
        <f t="shared" si="0"/>
        <v>0</v>
      </c>
      <c r="H12" s="288">
        <f>IF(F12&gt;E12,1,0)</f>
        <v>0</v>
      </c>
      <c r="I12" s="288">
        <f>IF(G12&lt;0,1,0)</f>
        <v>0</v>
      </c>
    </row>
    <row r="13" spans="1:10" s="173" customFormat="1" x14ac:dyDescent="0.25">
      <c r="A13" s="186"/>
      <c r="B13" s="481" t="s">
        <v>38</v>
      </c>
      <c r="C13" s="195"/>
      <c r="D13" s="195"/>
      <c r="E13" s="199"/>
      <c r="F13" s="199"/>
      <c r="G13" s="195"/>
      <c r="H13" s="288">
        <f>IF(F13&gt;E13,1,0)</f>
        <v>0</v>
      </c>
      <c r="I13" s="288">
        <f>IF(G13&lt;0,1,0)</f>
        <v>0</v>
      </c>
    </row>
    <row r="14" spans="1:10" s="173" customFormat="1" ht="92.4" x14ac:dyDescent="0.25">
      <c r="A14" s="186"/>
      <c r="B14" s="985" t="s">
        <v>736</v>
      </c>
      <c r="C14" s="195" t="s">
        <v>737</v>
      </c>
      <c r="D14" s="195"/>
      <c r="E14" s="199"/>
      <c r="F14" s="199"/>
      <c r="G14" s="188">
        <f t="shared" ref="G14:G15" si="1">D14-E14</f>
        <v>0</v>
      </c>
      <c r="H14" s="288">
        <f t="shared" ref="H14:H15" si="2">IF(F14&gt;E14,1,0)</f>
        <v>0</v>
      </c>
      <c r="I14" s="288">
        <f t="shared" ref="I14:I15" si="3">IF(G14&lt;0,1,0)</f>
        <v>0</v>
      </c>
      <c r="J14" s="1113">
        <f>D14+D15</f>
        <v>240000000</v>
      </c>
    </row>
    <row r="15" spans="1:10" s="173" customFormat="1" x14ac:dyDescent="0.25">
      <c r="A15" s="1316"/>
      <c r="B15" s="1321" t="s">
        <v>58</v>
      </c>
      <c r="C15" s="1317" t="s">
        <v>737</v>
      </c>
      <c r="D15" s="1318">
        <v>240000000</v>
      </c>
      <c r="E15" s="1319">
        <f>'План и исполнение'!SP38</f>
        <v>240000000</v>
      </c>
      <c r="F15" s="1319">
        <f>'План и исполнение'!SR38</f>
        <v>39903656.670000002</v>
      </c>
      <c r="G15" s="1320">
        <f t="shared" si="1"/>
        <v>0</v>
      </c>
      <c r="H15" s="288">
        <f t="shared" si="2"/>
        <v>0</v>
      </c>
      <c r="I15" s="288">
        <f t="shared" si="3"/>
        <v>0</v>
      </c>
    </row>
    <row r="16" spans="1:10" s="173" customFormat="1" ht="158.4" x14ac:dyDescent="0.25">
      <c r="A16" s="1103"/>
      <c r="B16" s="486" t="s">
        <v>539</v>
      </c>
      <c r="C16" s="144" t="s">
        <v>407</v>
      </c>
      <c r="D16" s="272"/>
      <c r="E16" s="454"/>
      <c r="F16" s="454"/>
      <c r="G16" s="188">
        <f>D16-E16</f>
        <v>0</v>
      </c>
      <c r="H16" s="288">
        <f>IF(F16&gt;E16,1,0)</f>
        <v>0</v>
      </c>
      <c r="I16" s="288">
        <f>IF(G16&lt;0,1,0)</f>
        <v>0</v>
      </c>
      <c r="J16" s="1113">
        <f>D16+D17</f>
        <v>861087457</v>
      </c>
    </row>
    <row r="17" spans="1:10" s="370" customFormat="1" x14ac:dyDescent="0.25">
      <c r="A17" s="1110"/>
      <c r="B17" s="725" t="s">
        <v>58</v>
      </c>
      <c r="C17" s="1111" t="s">
        <v>407</v>
      </c>
      <c r="D17" s="726">
        <v>861087457</v>
      </c>
      <c r="E17" s="723">
        <f>'План и исполнение'!TB38</f>
        <v>861087457</v>
      </c>
      <c r="F17" s="723">
        <f>'План и исполнение'!TD38</f>
        <v>147619797.41000003</v>
      </c>
      <c r="G17" s="727">
        <f t="shared" ref="G17:G19" si="4">D17-E17</f>
        <v>0</v>
      </c>
      <c r="H17" s="1112">
        <f t="shared" ref="H17:H19" si="5">IF(F17&gt;E17,1,0)</f>
        <v>0</v>
      </c>
      <c r="I17" s="1112">
        <f t="shared" ref="I17:I19" si="6">IF(G17&lt;0,1,0)</f>
        <v>0</v>
      </c>
    </row>
    <row r="18" spans="1:10" s="173" customFormat="1" ht="118.8" x14ac:dyDescent="0.25">
      <c r="A18" s="186"/>
      <c r="B18" s="985" t="s">
        <v>748</v>
      </c>
      <c r="C18" s="195" t="s">
        <v>747</v>
      </c>
      <c r="D18" s="195"/>
      <c r="E18" s="199"/>
      <c r="F18" s="199"/>
      <c r="G18" s="188">
        <f t="shared" si="4"/>
        <v>0</v>
      </c>
      <c r="H18" s="288">
        <f t="shared" si="5"/>
        <v>0</v>
      </c>
      <c r="I18" s="288">
        <f t="shared" si="6"/>
        <v>0</v>
      </c>
      <c r="J18" s="1113">
        <f>D18+D19</f>
        <v>120000000</v>
      </c>
    </row>
    <row r="19" spans="1:10" s="173" customFormat="1" x14ac:dyDescent="0.25">
      <c r="A19" s="1316"/>
      <c r="B19" s="1321" t="s">
        <v>58</v>
      </c>
      <c r="C19" s="1317" t="s">
        <v>747</v>
      </c>
      <c r="D19" s="1318">
        <v>120000000</v>
      </c>
      <c r="E19" s="1319">
        <f>'План и исполнение'!TN38</f>
        <v>120000000</v>
      </c>
      <c r="F19" s="1319">
        <f>'План и исполнение'!TP38</f>
        <v>0</v>
      </c>
      <c r="G19" s="1320">
        <f t="shared" si="4"/>
        <v>0</v>
      </c>
      <c r="H19" s="288">
        <f t="shared" si="5"/>
        <v>0</v>
      </c>
      <c r="I19" s="288">
        <f t="shared" si="6"/>
        <v>0</v>
      </c>
    </row>
    <row r="20" spans="1:10" x14ac:dyDescent="0.25">
      <c r="A20" s="1315"/>
      <c r="B20" s="486"/>
      <c r="C20" s="144"/>
      <c r="D20" s="272"/>
      <c r="E20" s="187"/>
      <c r="F20" s="187"/>
      <c r="G20" s="188"/>
      <c r="H20" s="288"/>
      <c r="I20" s="288"/>
    </row>
    <row r="21" spans="1:10" x14ac:dyDescent="0.25">
      <c r="A21" s="185" t="s">
        <v>130</v>
      </c>
      <c r="B21" s="251" t="s">
        <v>131</v>
      </c>
      <c r="C21" s="194"/>
      <c r="D21" s="197">
        <f>D23+D24</f>
        <v>222440000</v>
      </c>
      <c r="E21" s="197">
        <f t="shared" ref="E21:G21" si="7">E23+E24</f>
        <v>222440000</v>
      </c>
      <c r="F21" s="197">
        <f t="shared" si="7"/>
        <v>749900</v>
      </c>
      <c r="G21" s="197">
        <f t="shared" si="7"/>
        <v>0</v>
      </c>
      <c r="H21" s="288">
        <f>IF(F21&gt;E21,1,0)</f>
        <v>0</v>
      </c>
      <c r="I21" s="288">
        <f>IF(G21&lt;0,1,0)</f>
        <v>0</v>
      </c>
    </row>
    <row r="22" spans="1:10" x14ac:dyDescent="0.25">
      <c r="A22" s="186"/>
      <c r="B22" s="481" t="s">
        <v>38</v>
      </c>
      <c r="C22" s="195"/>
      <c r="D22" s="195"/>
      <c r="E22" s="199"/>
      <c r="F22" s="199"/>
      <c r="G22" s="195"/>
      <c r="H22" s="288">
        <f>IF(F22&gt;E22,1,0)</f>
        <v>0</v>
      </c>
      <c r="I22" s="288">
        <f>IF(G22&lt;0,1,0)</f>
        <v>0</v>
      </c>
    </row>
    <row r="23" spans="1:10" ht="118.8" x14ac:dyDescent="0.25">
      <c r="A23" s="186"/>
      <c r="B23" s="985" t="s">
        <v>828</v>
      </c>
      <c r="C23" s="144" t="s">
        <v>826</v>
      </c>
      <c r="D23" s="986">
        <v>87940000</v>
      </c>
      <c r="E23" s="1093">
        <f>'План и исполнение'!TZ38</f>
        <v>87940000</v>
      </c>
      <c r="F23" s="1093">
        <f>'План и исполнение'!UC38</f>
        <v>0</v>
      </c>
      <c r="G23" s="188">
        <f t="shared" ref="G23:G24" si="8">D23-E23</f>
        <v>0</v>
      </c>
      <c r="H23" s="288">
        <f>IF(F23&gt;E23,1,0)</f>
        <v>0</v>
      </c>
      <c r="I23" s="288">
        <f>IF(G23&lt;0,1,0)</f>
        <v>0</v>
      </c>
    </row>
    <row r="24" spans="1:10" s="173" customFormat="1" x14ac:dyDescent="0.25">
      <c r="A24" s="1316"/>
      <c r="B24" s="1321" t="s">
        <v>58</v>
      </c>
      <c r="C24" s="1317" t="s">
        <v>826</v>
      </c>
      <c r="D24" s="1318">
        <v>134500000</v>
      </c>
      <c r="E24" s="1319">
        <f>'План и исполнение'!UA38</f>
        <v>134500000</v>
      </c>
      <c r="F24" s="1319">
        <f>'План и исполнение'!UD38</f>
        <v>749900</v>
      </c>
      <c r="G24" s="1320">
        <f t="shared" si="8"/>
        <v>0</v>
      </c>
      <c r="H24" s="288">
        <f t="shared" ref="H24" si="9">IF(F24&gt;E24,1,0)</f>
        <v>0</v>
      </c>
      <c r="I24" s="288">
        <f t="shared" ref="I24" si="10">IF(G24&lt;0,1,0)</f>
        <v>0</v>
      </c>
    </row>
    <row r="25" spans="1:10" x14ac:dyDescent="0.25">
      <c r="A25" s="186"/>
      <c r="B25" s="985"/>
      <c r="C25" s="144"/>
      <c r="D25" s="986"/>
      <c r="E25" s="984"/>
      <c r="F25" s="984"/>
      <c r="G25" s="188"/>
      <c r="H25" s="288"/>
      <c r="I25" s="288"/>
    </row>
    <row r="26" spans="1:10" x14ac:dyDescent="0.25">
      <c r="A26" s="185" t="s">
        <v>50</v>
      </c>
      <c r="B26" s="251" t="s">
        <v>51</v>
      </c>
      <c r="C26" s="194"/>
      <c r="D26" s="197">
        <f>SUM(D28:D30)</f>
        <v>224874.44</v>
      </c>
      <c r="E26" s="197">
        <f t="shared" ref="E26:G26" si="11">SUM(E28:E30)</f>
        <v>224874.44</v>
      </c>
      <c r="F26" s="197">
        <f t="shared" si="11"/>
        <v>224874.44</v>
      </c>
      <c r="G26" s="197">
        <f t="shared" si="11"/>
        <v>0</v>
      </c>
      <c r="H26" s="288">
        <f>IF(F26&gt;E26,1,0)</f>
        <v>0</v>
      </c>
      <c r="I26" s="288">
        <f>IF(G26&lt;0,1,0)</f>
        <v>0</v>
      </c>
    </row>
    <row r="27" spans="1:10" x14ac:dyDescent="0.25">
      <c r="A27" s="186"/>
      <c r="B27" s="481" t="s">
        <v>38</v>
      </c>
      <c r="C27" s="195"/>
      <c r="D27" s="195"/>
      <c r="E27" s="199"/>
      <c r="F27" s="199"/>
      <c r="G27" s="195"/>
      <c r="H27" s="288">
        <f>IF(F27&gt;E27,1,0)</f>
        <v>0</v>
      </c>
      <c r="I27" s="288">
        <f>IF(G27&lt;0,1,0)</f>
        <v>0</v>
      </c>
    </row>
    <row r="28" spans="1:10" ht="132" hidden="1" x14ac:dyDescent="0.25">
      <c r="A28" s="186"/>
      <c r="B28" s="985" t="s">
        <v>413</v>
      </c>
      <c r="C28" s="144" t="s">
        <v>412</v>
      </c>
      <c r="D28" s="1306"/>
      <c r="E28" s="984">
        <f>'План и исполнение'!VB37</f>
        <v>0</v>
      </c>
      <c r="F28" s="984">
        <f>'План и исполнение'!VF37</f>
        <v>0</v>
      </c>
      <c r="G28" s="188">
        <f>D28-E28</f>
        <v>0</v>
      </c>
      <c r="H28" s="288">
        <f>IF(F28&gt;E28,1,0)</f>
        <v>0</v>
      </c>
      <c r="I28" s="288">
        <f>IF(G28&lt;0,1,0)</f>
        <v>0</v>
      </c>
      <c r="J28" s="1113">
        <f>D28+D29</f>
        <v>0</v>
      </c>
    </row>
    <row r="29" spans="1:10" s="370" customFormat="1" hidden="1" x14ac:dyDescent="0.25">
      <c r="A29" s="1110"/>
      <c r="B29" s="725" t="s">
        <v>58</v>
      </c>
      <c r="C29" s="1111" t="s">
        <v>412</v>
      </c>
      <c r="D29" s="726"/>
      <c r="E29" s="723">
        <f>'План и исполнение'!VC37</f>
        <v>0</v>
      </c>
      <c r="F29" s="723">
        <f>'План и исполнение'!VG37</f>
        <v>0</v>
      </c>
      <c r="G29" s="727">
        <f t="shared" ref="G29" si="12">D29-E29</f>
        <v>0</v>
      </c>
      <c r="H29" s="1112">
        <f t="shared" ref="H29" si="13">IF(F29&gt;E29,1,0)</f>
        <v>0</v>
      </c>
      <c r="I29" s="1112">
        <f t="shared" ref="I29" si="14">IF(G29&lt;0,1,0)</f>
        <v>0</v>
      </c>
    </row>
    <row r="30" spans="1:10" ht="171.6" x14ac:dyDescent="0.25">
      <c r="A30" s="186"/>
      <c r="B30" s="985" t="s">
        <v>411</v>
      </c>
      <c r="C30" s="144" t="s">
        <v>410</v>
      </c>
      <c r="D30" s="1511">
        <v>224874.44</v>
      </c>
      <c r="E30" s="1093">
        <f>'План и исполнение'!VD37</f>
        <v>224874.44</v>
      </c>
      <c r="F30" s="1093">
        <f>'План и исполнение'!VH37</f>
        <v>224874.44</v>
      </c>
      <c r="G30" s="188">
        <f>D30-E30</f>
        <v>0</v>
      </c>
      <c r="H30" s="288">
        <f>IF(F30&gt;E30,1,0)</f>
        <v>0</v>
      </c>
      <c r="I30" s="288">
        <f>IF(G30&lt;0,1,0)</f>
        <v>0</v>
      </c>
    </row>
    <row r="31" spans="1:10" x14ac:dyDescent="0.25">
      <c r="A31" s="186"/>
      <c r="B31" s="985"/>
      <c r="C31" s="144"/>
      <c r="D31" s="1511"/>
      <c r="E31" s="1093"/>
      <c r="F31" s="1093"/>
      <c r="G31" s="188"/>
      <c r="H31" s="288"/>
      <c r="I31" s="288"/>
    </row>
    <row r="32" spans="1:10" x14ac:dyDescent="0.25">
      <c r="A32" s="185" t="s">
        <v>76</v>
      </c>
      <c r="B32" s="251" t="s">
        <v>113</v>
      </c>
      <c r="C32" s="194"/>
      <c r="D32" s="197">
        <f>D34+D35</f>
        <v>152985000</v>
      </c>
      <c r="E32" s="197">
        <f t="shared" ref="E32:G32" si="15">E34+E35</f>
        <v>0</v>
      </c>
      <c r="F32" s="197">
        <f t="shared" si="15"/>
        <v>0</v>
      </c>
      <c r="G32" s="197">
        <f t="shared" si="15"/>
        <v>152985000</v>
      </c>
      <c r="H32" s="288">
        <f>IF(F32&gt;E32,1,0)</f>
        <v>0</v>
      </c>
      <c r="I32" s="288">
        <f>IF(G32&lt;0,1,0)</f>
        <v>0</v>
      </c>
    </row>
    <row r="33" spans="1:10" x14ac:dyDescent="0.25">
      <c r="A33" s="186"/>
      <c r="B33" s="481" t="s">
        <v>38</v>
      </c>
      <c r="C33" s="195"/>
      <c r="D33" s="195"/>
      <c r="E33" s="199"/>
      <c r="F33" s="199"/>
      <c r="G33" s="195"/>
      <c r="H33" s="288">
        <f>IF(F33&gt;E33,1,0)</f>
        <v>0</v>
      </c>
      <c r="I33" s="288">
        <f>IF(G33&lt;0,1,0)</f>
        <v>0</v>
      </c>
    </row>
    <row r="34" spans="1:10" ht="79.2" x14ac:dyDescent="0.25">
      <c r="A34" s="186"/>
      <c r="B34" s="480" t="s">
        <v>858</v>
      </c>
      <c r="C34" s="144" t="s">
        <v>859</v>
      </c>
      <c r="D34" s="986"/>
      <c r="E34" s="1093">
        <f>'План и исполнение'!SJ37</f>
        <v>0</v>
      </c>
      <c r="F34" s="1093">
        <f>'План и исполнение'!SM37</f>
        <v>0</v>
      </c>
      <c r="G34" s="188">
        <f>D34-E34</f>
        <v>0</v>
      </c>
      <c r="H34" s="288">
        <f>IF(F34&gt;E34,1,0)</f>
        <v>0</v>
      </c>
      <c r="I34" s="288">
        <f>IF(G34&lt;0,1,0)</f>
        <v>0</v>
      </c>
      <c r="J34" s="1113">
        <f>D34+D35</f>
        <v>152985000</v>
      </c>
    </row>
    <row r="35" spans="1:10" x14ac:dyDescent="0.25">
      <c r="A35" s="1110"/>
      <c r="B35" s="725" t="s">
        <v>58</v>
      </c>
      <c r="C35" s="1111" t="s">
        <v>859</v>
      </c>
      <c r="D35" s="726">
        <v>152985000</v>
      </c>
      <c r="E35" s="723">
        <f>'План и исполнение'!SK37</f>
        <v>0</v>
      </c>
      <c r="F35" s="723">
        <f>'План и исполнение'!SN37</f>
        <v>0</v>
      </c>
      <c r="G35" s="727">
        <f t="shared" ref="G35" si="16">D35-E35</f>
        <v>152985000</v>
      </c>
      <c r="H35" s="1112">
        <f t="shared" ref="H35" si="17">IF(F35&gt;E35,1,0)</f>
        <v>0</v>
      </c>
      <c r="I35" s="1112">
        <f t="shared" ref="I35" si="18">IF(G35&lt;0,1,0)</f>
        <v>0</v>
      </c>
      <c r="J35" s="370"/>
    </row>
    <row r="36" spans="1:10" s="376" customFormat="1" x14ac:dyDescent="0.25">
      <c r="A36" s="1469"/>
      <c r="B36" s="1470"/>
      <c r="C36" s="1471"/>
      <c r="D36" s="1472"/>
      <c r="E36" s="1473"/>
      <c r="F36" s="1473"/>
      <c r="G36" s="488"/>
      <c r="H36" s="1474"/>
      <c r="I36" s="1474"/>
      <c r="J36" s="375"/>
    </row>
    <row r="37" spans="1:10" x14ac:dyDescent="0.25">
      <c r="A37" s="185" t="s">
        <v>33</v>
      </c>
      <c r="B37" s="251" t="s">
        <v>34</v>
      </c>
      <c r="C37" s="194"/>
      <c r="D37" s="197">
        <f>SUM(D39:D42)</f>
        <v>11000000</v>
      </c>
      <c r="E37" s="197">
        <f t="shared" ref="E37:G37" si="19">SUM(E39:E42)</f>
        <v>11000000</v>
      </c>
      <c r="F37" s="197">
        <f t="shared" si="19"/>
        <v>4876756.5600000005</v>
      </c>
      <c r="G37" s="197">
        <f t="shared" si="19"/>
        <v>0</v>
      </c>
      <c r="H37" s="288">
        <f>IF(F37&gt;E37,1,0)</f>
        <v>0</v>
      </c>
      <c r="I37" s="288">
        <f>IF(G37&lt;0,1,0)</f>
        <v>0</v>
      </c>
    </row>
    <row r="38" spans="1:10" x14ac:dyDescent="0.25">
      <c r="A38" s="186"/>
      <c r="B38" s="481" t="s">
        <v>38</v>
      </c>
      <c r="C38" s="195"/>
      <c r="D38" s="195"/>
      <c r="E38" s="199"/>
      <c r="F38" s="199"/>
      <c r="G38" s="195"/>
      <c r="H38" s="288">
        <f>IF(F38&gt;E38,1,0)</f>
        <v>0</v>
      </c>
      <c r="I38" s="288">
        <f>IF(G38&lt;0,1,0)</f>
        <v>0</v>
      </c>
    </row>
    <row r="39" spans="1:10" ht="66" x14ac:dyDescent="0.25">
      <c r="A39" s="186"/>
      <c r="B39" s="985" t="s">
        <v>596</v>
      </c>
      <c r="C39" s="144" t="s">
        <v>595</v>
      </c>
      <c r="D39" s="986"/>
      <c r="E39" s="984">
        <f>'План и исполнение'!UV37</f>
        <v>0</v>
      </c>
      <c r="F39" s="984">
        <f>'План и исполнение'!UY37</f>
        <v>0</v>
      </c>
      <c r="G39" s="188">
        <f>D39-E39</f>
        <v>0</v>
      </c>
      <c r="H39" s="288">
        <f>IF(F39&gt;E39,1,0)</f>
        <v>0</v>
      </c>
      <c r="I39" s="288">
        <f>IF(G39&lt;0,1,0)</f>
        <v>0</v>
      </c>
      <c r="J39" s="1113">
        <f>D39+D40</f>
        <v>10000000</v>
      </c>
    </row>
    <row r="40" spans="1:10" x14ac:dyDescent="0.25">
      <c r="A40" s="1110"/>
      <c r="B40" s="725" t="s">
        <v>58</v>
      </c>
      <c r="C40" s="1111" t="s">
        <v>595</v>
      </c>
      <c r="D40" s="726">
        <v>10000000</v>
      </c>
      <c r="E40" s="723">
        <f>'План и исполнение'!UW37</f>
        <v>10000000</v>
      </c>
      <c r="F40" s="723">
        <f>'План и исполнение'!UZ37</f>
        <v>3876756.56</v>
      </c>
      <c r="G40" s="727">
        <f t="shared" ref="G40" si="20">D40-E40</f>
        <v>0</v>
      </c>
      <c r="H40" s="1112">
        <f t="shared" ref="H40" si="21">IF(F40&gt;E40,1,0)</f>
        <v>0</v>
      </c>
      <c r="I40" s="1112">
        <f t="shared" ref="I40" si="22">IF(G40&lt;0,1,0)</f>
        <v>0</v>
      </c>
      <c r="J40" s="370"/>
    </row>
    <row r="41" spans="1:10" ht="66" x14ac:dyDescent="0.25">
      <c r="A41" s="186"/>
      <c r="B41" s="985" t="s">
        <v>597</v>
      </c>
      <c r="C41" s="144" t="s">
        <v>598</v>
      </c>
      <c r="D41" s="986"/>
      <c r="E41" s="984">
        <f>'План и исполнение'!UP37</f>
        <v>0</v>
      </c>
      <c r="F41" s="984">
        <f>'План и исполнение'!US37</f>
        <v>0</v>
      </c>
      <c r="G41" s="188">
        <f>D41-E41</f>
        <v>0</v>
      </c>
      <c r="H41" s="288">
        <f>IF(F41&gt;E41,1,0)</f>
        <v>0</v>
      </c>
      <c r="I41" s="288">
        <f>IF(G41&lt;0,1,0)</f>
        <v>0</v>
      </c>
      <c r="J41" s="1113">
        <f>D41+D42</f>
        <v>1000000</v>
      </c>
    </row>
    <row r="42" spans="1:10" x14ac:dyDescent="0.25">
      <c r="A42" s="1110"/>
      <c r="B42" s="725" t="s">
        <v>58</v>
      </c>
      <c r="C42" s="1111" t="s">
        <v>598</v>
      </c>
      <c r="D42" s="726">
        <v>1000000</v>
      </c>
      <c r="E42" s="723">
        <f>'План и исполнение'!UQ37</f>
        <v>1000000</v>
      </c>
      <c r="F42" s="723">
        <f>'План и исполнение'!UT37</f>
        <v>1000000</v>
      </c>
      <c r="G42" s="727">
        <f t="shared" ref="G42" si="23">D42-E42</f>
        <v>0</v>
      </c>
      <c r="H42" s="1112">
        <f t="shared" ref="H42" si="24">IF(F42&gt;E42,1,0)</f>
        <v>0</v>
      </c>
      <c r="I42" s="1112">
        <f t="shared" ref="I42" si="25">IF(G42&lt;0,1,0)</f>
        <v>0</v>
      </c>
      <c r="J42" s="370"/>
    </row>
    <row r="43" spans="1:10" x14ac:dyDescent="0.25">
      <c r="A43" s="1264"/>
      <c r="B43" s="486"/>
      <c r="C43" s="144"/>
      <c r="D43" s="272"/>
      <c r="E43" s="187"/>
      <c r="F43" s="187"/>
      <c r="G43" s="188"/>
      <c r="H43" s="288"/>
      <c r="I43" s="288"/>
    </row>
    <row r="44" spans="1:10" s="1108" customFormat="1" x14ac:dyDescent="0.25">
      <c r="A44" s="1927" t="s">
        <v>1</v>
      </c>
      <c r="B44" s="1927"/>
      <c r="C44" s="181"/>
      <c r="D44" s="181">
        <f>D8+D12+D26+D21+D37+D32</f>
        <v>1607737331.4400001</v>
      </c>
      <c r="E44" s="181">
        <f>E8+E12+E26+E21+E37+E32</f>
        <v>1454752331.4400001</v>
      </c>
      <c r="F44" s="181">
        <f>F8+F12+F26+F21+F37+F32</f>
        <v>193374985.08000004</v>
      </c>
      <c r="G44" s="181">
        <f>G8+G12+G26+G21+G37+G32</f>
        <v>152985000</v>
      </c>
      <c r="H44" s="1107">
        <f>SUM(H18:H32)</f>
        <v>0</v>
      </c>
      <c r="I44" s="1107">
        <f>SUM(I18:I32)</f>
        <v>0</v>
      </c>
    </row>
    <row r="45" spans="1:10" x14ac:dyDescent="0.25">
      <c r="D45" s="1109">
        <f>D44-'[1]Иные межбюджетные трансферты'!$B$39</f>
        <v>0</v>
      </c>
      <c r="E45" s="1109">
        <f>E44-'[1]Иные межбюджетные трансферты'!$B$35</f>
        <v>0</v>
      </c>
      <c r="G45" s="1109">
        <f>G44-'[1]Иные межбюджетные трансферты'!$B$37*1000</f>
        <v>0</v>
      </c>
    </row>
    <row r="47" spans="1:10" x14ac:dyDescent="0.25">
      <c r="C47" s="1920" t="s">
        <v>282</v>
      </c>
      <c r="D47" s="1920"/>
      <c r="E47" s="1920"/>
      <c r="F47" s="1920"/>
      <c r="G47" s="1920"/>
    </row>
    <row r="48" spans="1:10" x14ac:dyDescent="0.25">
      <c r="C48" s="731" t="s">
        <v>415</v>
      </c>
      <c r="D48" s="732">
        <f>D17+D29+D40+D42+D15+D19+D35+D24</f>
        <v>1519572457</v>
      </c>
      <c r="E48" s="732">
        <f>E17+E29+E40+E42+E15+E19+E35+E24</f>
        <v>1366587457</v>
      </c>
      <c r="F48" s="732">
        <f>F17+F29+F40+F42+F15+F19+F35+F24</f>
        <v>193150110.64000005</v>
      </c>
      <c r="G48" s="732">
        <f>G17+G29+G40+G42+G15+G19+G35+G24</f>
        <v>152985000</v>
      </c>
    </row>
    <row r="50" spans="2:9" x14ac:dyDescent="0.25">
      <c r="C50" s="1920" t="s">
        <v>725</v>
      </c>
      <c r="D50" s="1920"/>
      <c r="E50" s="1920"/>
      <c r="F50" s="1920"/>
      <c r="G50" s="1920"/>
    </row>
    <row r="51" spans="2:9" x14ac:dyDescent="0.25">
      <c r="C51" s="731" t="s">
        <v>415</v>
      </c>
      <c r="D51" s="732">
        <f>D44-D48</f>
        <v>88164874.440000057</v>
      </c>
      <c r="E51" s="732">
        <f t="shared" ref="E51:G51" si="26">E44-E48</f>
        <v>88164874.440000057</v>
      </c>
      <c r="F51" s="732">
        <f t="shared" si="26"/>
        <v>224874.43999999762</v>
      </c>
      <c r="G51" s="732">
        <f t="shared" si="26"/>
        <v>0</v>
      </c>
    </row>
    <row r="52" spans="2:9" s="376" customFormat="1" ht="14.4" thickBot="1" x14ac:dyDescent="0.3">
      <c r="C52" s="1307"/>
      <c r="D52" s="1307"/>
      <c r="E52" s="1307"/>
      <c r="F52" s="1307"/>
      <c r="G52" s="1307"/>
      <c r="I52" s="1308"/>
    </row>
    <row r="53" spans="2:9" ht="42" thickBot="1" x14ac:dyDescent="0.3">
      <c r="D53" s="1635">
        <v>1519572457</v>
      </c>
      <c r="E53" s="282" t="s">
        <v>421</v>
      </c>
      <c r="F53" s="1635">
        <v>193150110.63999999</v>
      </c>
    </row>
    <row r="55" spans="2:9" x14ac:dyDescent="0.25">
      <c r="D55" s="1120">
        <f>D48-D53</f>
        <v>0</v>
      </c>
      <c r="E55" s="282" t="s">
        <v>164</v>
      </c>
      <c r="F55" s="1120">
        <f>F48-F53</f>
        <v>0</v>
      </c>
    </row>
    <row r="58" spans="2:9" x14ac:dyDescent="0.25">
      <c r="B58" s="1386"/>
    </row>
  </sheetData>
  <mergeCells count="6">
    <mergeCell ref="C50:G50"/>
    <mergeCell ref="A44:B44"/>
    <mergeCell ref="A2:G2"/>
    <mergeCell ref="A3:G3"/>
    <mergeCell ref="A4:G4"/>
    <mergeCell ref="C47:G47"/>
  </mergeCells>
  <phoneticPr fontId="0" type="noConversion"/>
  <pageMargins left="0.78740157480314965" right="0.39370078740157483" top="0.59055118110236227" bottom="0.59055118110236227" header="0.51181102362204722" footer="0.51181102362204722"/>
  <pageSetup paperSize="9" scale="49" orientation="portrait" r:id="rId1"/>
  <headerFooter alignWithMargins="0">
    <oddFooter>&amp;R&amp;Z&amp;F&amp;A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F26"/>
  <sheetViews>
    <sheetView topLeftCell="A2" zoomScale="80" zoomScaleNormal="80" workbookViewId="0">
      <pane xSplit="1" ySplit="4" topLeftCell="B21" activePane="bottomRight" state="frozen"/>
      <selection activeCell="D27" sqref="D27"/>
      <selection pane="topRight" activeCell="D27" sqref="D27"/>
      <selection pane="bottomLeft" activeCell="D27" sqref="D27"/>
      <selection pane="bottomRight" activeCell="E26" sqref="E26"/>
    </sheetView>
  </sheetViews>
  <sheetFormatPr defaultColWidth="8.6640625" defaultRowHeight="13.8" x14ac:dyDescent="0.25"/>
  <cols>
    <col min="1" max="1" width="79.109375" style="496" customWidth="1"/>
    <col min="2" max="2" width="18" style="496" customWidth="1"/>
    <col min="3" max="3" width="21.6640625" style="496" customWidth="1"/>
    <col min="4" max="4" width="22" style="496" customWidth="1"/>
    <col min="5" max="5" width="20.6640625" style="496" customWidth="1"/>
    <col min="6" max="6" width="18.6640625" style="496" bestFit="1" customWidth="1"/>
    <col min="7" max="16384" width="8.6640625" style="496"/>
  </cols>
  <sheetData>
    <row r="2" spans="1:6" x14ac:dyDescent="0.25">
      <c r="A2" s="1929" t="s">
        <v>799</v>
      </c>
      <c r="B2" s="1929"/>
      <c r="C2" s="1929"/>
      <c r="D2" s="1929"/>
      <c r="E2" s="1929"/>
      <c r="F2" s="1929"/>
    </row>
    <row r="4" spans="1:6" x14ac:dyDescent="0.25">
      <c r="E4" s="496" t="s">
        <v>800</v>
      </c>
    </row>
    <row r="5" spans="1:6" ht="26.4" x14ac:dyDescent="0.25">
      <c r="A5" s="183" t="s">
        <v>159</v>
      </c>
      <c r="B5" s="183" t="s">
        <v>18</v>
      </c>
      <c r="C5" s="183" t="s">
        <v>13</v>
      </c>
      <c r="D5" s="183" t="s">
        <v>161</v>
      </c>
      <c r="E5" s="183" t="s">
        <v>4</v>
      </c>
      <c r="F5" s="183" t="s">
        <v>160</v>
      </c>
    </row>
    <row r="6" spans="1:6" ht="132" x14ac:dyDescent="0.25">
      <c r="A6" s="847" t="s">
        <v>601</v>
      </c>
      <c r="B6" s="1398" t="s">
        <v>476</v>
      </c>
      <c r="C6" s="1399">
        <f>Субсидия!D396+Субсидия!D399</f>
        <v>114521875.79000001</v>
      </c>
      <c r="D6" s="1399">
        <f>Субсидия!E396+Субсидия!E399</f>
        <v>114521875.79000001</v>
      </c>
      <c r="E6" s="1611">
        <f>Субсидия!F396+Субсидия!F399</f>
        <v>32872646.16</v>
      </c>
      <c r="F6" s="1399">
        <f>Субсидия!G396+Субсидия!G399</f>
        <v>0</v>
      </c>
    </row>
    <row r="7" spans="1:6" ht="105.6" x14ac:dyDescent="0.25">
      <c r="A7" s="847" t="s">
        <v>560</v>
      </c>
      <c r="B7" s="1398" t="s">
        <v>559</v>
      </c>
      <c r="C7" s="1399">
        <f>Субсидия!D414+Субсидия!D417</f>
        <v>93825120</v>
      </c>
      <c r="D7" s="1399">
        <f>Субсидия!E414+Субсидия!E417</f>
        <v>93825120</v>
      </c>
      <c r="E7" s="1611">
        <f>Субсидия!F414+Субсидия!F417</f>
        <v>38738988.590000004</v>
      </c>
      <c r="F7" s="1399">
        <f>Субсидия!G414+Субсидия!G417</f>
        <v>0</v>
      </c>
    </row>
    <row r="8" spans="1:6" ht="66" x14ac:dyDescent="0.25">
      <c r="A8" s="486" t="s">
        <v>245</v>
      </c>
      <c r="B8" s="1398" t="s">
        <v>244</v>
      </c>
      <c r="C8" s="1399">
        <f>Субсидия!D334</f>
        <v>63679506.950000003</v>
      </c>
      <c r="D8" s="1399">
        <f>Субсидия!E334</f>
        <v>63679506.950000003</v>
      </c>
      <c r="E8" s="1611">
        <f>Субсидия!F334</f>
        <v>23548313.280000001</v>
      </c>
      <c r="F8" s="1399">
        <f>Субсидия!G334</f>
        <v>0</v>
      </c>
    </row>
    <row r="9" spans="1:6" ht="145.19999999999999" x14ac:dyDescent="0.25">
      <c r="A9" s="847" t="s">
        <v>436</v>
      </c>
      <c r="B9" s="1398" t="s">
        <v>433</v>
      </c>
      <c r="C9" s="1399">
        <f>Субсидия!D358+Субсидия!D361</f>
        <v>63000000</v>
      </c>
      <c r="D9" s="1399">
        <f>Субсидия!E358+Субсидия!E361</f>
        <v>63000000</v>
      </c>
      <c r="E9" s="1611">
        <f>Субсидия!F358+Субсидия!F361</f>
        <v>4958184.66</v>
      </c>
      <c r="F9" s="1399">
        <f>Субсидия!G358+Субсидия!G361</f>
        <v>0</v>
      </c>
    </row>
    <row r="10" spans="1:6" ht="66" x14ac:dyDescent="0.25">
      <c r="A10" s="847" t="s">
        <v>574</v>
      </c>
      <c r="B10" s="1398" t="s">
        <v>573</v>
      </c>
      <c r="C10" s="1399">
        <f>Субсидия!D286+Субсидия!D289</f>
        <v>624092893.42999995</v>
      </c>
      <c r="D10" s="1399">
        <f>Субсидия!E286+Субсидия!E289</f>
        <v>624092893.42999995</v>
      </c>
      <c r="E10" s="1611">
        <f>Субсидия!F286+Субсидия!F289</f>
        <v>135026743.69</v>
      </c>
      <c r="F10" s="1399">
        <f>Субсидия!G286+Субсидия!G289</f>
        <v>0</v>
      </c>
    </row>
    <row r="11" spans="1:6" ht="105.6" x14ac:dyDescent="0.25">
      <c r="A11" s="482" t="s">
        <v>223</v>
      </c>
      <c r="B11" s="1398" t="s">
        <v>199</v>
      </c>
      <c r="C11" s="1399">
        <f>Субсидия!D505</f>
        <v>55745986.689999998</v>
      </c>
      <c r="D11" s="1399">
        <f>Субсидия!E505</f>
        <v>55745986.689999998</v>
      </c>
      <c r="E11" s="1611">
        <f>Субсидия!F505</f>
        <v>0</v>
      </c>
      <c r="F11" s="1399">
        <f>Субсидия!G505</f>
        <v>0</v>
      </c>
    </row>
    <row r="12" spans="1:6" ht="158.4" x14ac:dyDescent="0.25">
      <c r="A12" s="480" t="s">
        <v>528</v>
      </c>
      <c r="B12" s="1398" t="s">
        <v>733</v>
      </c>
      <c r="C12" s="1399">
        <f>Субсидия!D119</f>
        <v>540305661.38999999</v>
      </c>
      <c r="D12" s="1399">
        <f>Субсидия!E119</f>
        <v>540305661.38999999</v>
      </c>
      <c r="E12" s="1611">
        <f>Субсидия!F119</f>
        <v>316742204.18000001</v>
      </c>
      <c r="F12" s="1399">
        <f>Субсидия!G119</f>
        <v>0</v>
      </c>
    </row>
    <row r="13" spans="1:6" ht="145.19999999999999" x14ac:dyDescent="0.25">
      <c r="A13" s="487" t="s">
        <v>707</v>
      </c>
      <c r="B13" s="1398" t="s">
        <v>706</v>
      </c>
      <c r="C13" s="1399">
        <f>Субсидия!D122</f>
        <v>127262338.52000001</v>
      </c>
      <c r="D13" s="1399">
        <f>Субсидия!E122</f>
        <v>127262338.51999998</v>
      </c>
      <c r="E13" s="1611">
        <f>Субсидия!F122</f>
        <v>46318201.860000007</v>
      </c>
      <c r="F13" s="1399">
        <f>Субсидия!G122</f>
        <v>0</v>
      </c>
    </row>
    <row r="14" spans="1:6" ht="132" x14ac:dyDescent="0.25">
      <c r="A14" s="483" t="s">
        <v>314</v>
      </c>
      <c r="B14" s="1398" t="s">
        <v>267</v>
      </c>
      <c r="C14" s="1399">
        <f>Субсидия!D85</f>
        <v>0</v>
      </c>
      <c r="D14" s="1399">
        <f>Субсидия!E85</f>
        <v>0</v>
      </c>
      <c r="E14" s="1611">
        <f>Субсидия!F85</f>
        <v>0</v>
      </c>
      <c r="F14" s="1399">
        <f>Субсидия!G85</f>
        <v>0</v>
      </c>
    </row>
    <row r="15" spans="1:6" ht="79.2" x14ac:dyDescent="0.25">
      <c r="A15" s="487" t="s">
        <v>227</v>
      </c>
      <c r="B15" s="1398" t="s">
        <v>204</v>
      </c>
      <c r="C15" s="1399">
        <f>Субсидия!D445</f>
        <v>38852000</v>
      </c>
      <c r="D15" s="1399">
        <f>Субсидия!E445</f>
        <v>38852000</v>
      </c>
      <c r="E15" s="1611">
        <f>Субсидия!F445</f>
        <v>0</v>
      </c>
      <c r="F15" s="1399">
        <f>Субсидия!G445</f>
        <v>0</v>
      </c>
    </row>
    <row r="16" spans="1:6" ht="92.4" x14ac:dyDescent="0.25">
      <c r="A16" s="487" t="s">
        <v>320</v>
      </c>
      <c r="B16" s="1398" t="s">
        <v>319</v>
      </c>
      <c r="C16" s="1399">
        <f>Субсидия!D140</f>
        <v>14000000</v>
      </c>
      <c r="D16" s="1399">
        <f>Субсидия!E140</f>
        <v>14000000</v>
      </c>
      <c r="E16" s="1611">
        <f>Субсидия!F140</f>
        <v>0</v>
      </c>
      <c r="F16" s="1399">
        <f>Субсидия!G140</f>
        <v>0</v>
      </c>
    </row>
    <row r="17" spans="1:6" ht="118.8" x14ac:dyDescent="0.25">
      <c r="A17" s="487" t="s">
        <v>228</v>
      </c>
      <c r="B17" s="1398" t="s">
        <v>208</v>
      </c>
      <c r="C17" s="1399">
        <f>Субсидия!D59</f>
        <v>167008559.97999999</v>
      </c>
      <c r="D17" s="1399">
        <f>Субсидия!E59</f>
        <v>167008559.98000002</v>
      </c>
      <c r="E17" s="1611">
        <f>Субсидия!F59</f>
        <v>8528911.879999999</v>
      </c>
      <c r="F17" s="1399">
        <f>Субсидия!G59</f>
        <v>0</v>
      </c>
    </row>
    <row r="18" spans="1:6" ht="79.2" x14ac:dyDescent="0.25">
      <c r="A18" s="485" t="s">
        <v>343</v>
      </c>
      <c r="B18" s="1398" t="s">
        <v>342</v>
      </c>
      <c r="C18" s="1399">
        <f>Субсидия!D65</f>
        <v>25298394.550000001</v>
      </c>
      <c r="D18" s="1399">
        <f>Субсидия!E65</f>
        <v>25298394.549999997</v>
      </c>
      <c r="E18" s="1611">
        <f>Субсидия!F65</f>
        <v>2149048.4899999998</v>
      </c>
      <c r="F18" s="1399">
        <f>Субсидия!G65</f>
        <v>0</v>
      </c>
    </row>
    <row r="19" spans="1:6" ht="132" x14ac:dyDescent="0.25">
      <c r="A19" s="485" t="s">
        <v>705</v>
      </c>
      <c r="B19" s="1398" t="s">
        <v>703</v>
      </c>
      <c r="C19" s="1399">
        <f>Субсидия!D68</f>
        <v>456122261.40999997</v>
      </c>
      <c r="D19" s="1399">
        <f>Субсидия!E68</f>
        <v>456122261.40999997</v>
      </c>
      <c r="E19" s="1611">
        <f>Субсидия!F68</f>
        <v>66359301.120000005</v>
      </c>
      <c r="F19" s="1399">
        <f>Субсидия!G68</f>
        <v>0</v>
      </c>
    </row>
    <row r="20" spans="1:6" ht="92.4" x14ac:dyDescent="0.25">
      <c r="A20" s="485" t="s">
        <v>712</v>
      </c>
      <c r="B20" s="1398" t="s">
        <v>621</v>
      </c>
      <c r="C20" s="1399">
        <f>Субсидия!D125+Субсидия!D128</f>
        <v>27835833.329999998</v>
      </c>
      <c r="D20" s="1399">
        <f>Субсидия!E125+Субсидия!E128</f>
        <v>27835833.329999998</v>
      </c>
      <c r="E20" s="1611">
        <f>Субсидия!F125+Субсидия!F128</f>
        <v>0</v>
      </c>
      <c r="F20" s="1399">
        <f>Субсидия!G125+Субсидия!G128</f>
        <v>0</v>
      </c>
    </row>
    <row r="21" spans="1:6" ht="66" x14ac:dyDescent="0.25">
      <c r="A21" s="485" t="s">
        <v>699</v>
      </c>
      <c r="B21" s="1398" t="s">
        <v>698</v>
      </c>
      <c r="C21" s="1399">
        <f>Субсидия!D147</f>
        <v>8436447.2799999993</v>
      </c>
      <c r="D21" s="1399">
        <f>Субсидия!E147</f>
        <v>8436447.2800000012</v>
      </c>
      <c r="E21" s="1611">
        <f>Субсидия!F147</f>
        <v>0</v>
      </c>
      <c r="F21" s="1399">
        <f>Субсидия!G147</f>
        <v>0</v>
      </c>
    </row>
    <row r="22" spans="1:6" ht="79.2" x14ac:dyDescent="0.25">
      <c r="A22" s="485" t="s">
        <v>697</v>
      </c>
      <c r="B22" s="1398" t="s">
        <v>713</v>
      </c>
      <c r="C22" s="1399">
        <f>Субсидия!D150+Субсидия!D153</f>
        <v>13325972.220000001</v>
      </c>
      <c r="D22" s="1399">
        <f>Субсидия!E150+Субсидия!E153</f>
        <v>13325972.219999999</v>
      </c>
      <c r="E22" s="1611">
        <f>Субсидия!F150+Субсидия!F153</f>
        <v>0</v>
      </c>
      <c r="F22" s="1399">
        <f>Субсидия!G150+Субсидия!G153</f>
        <v>0</v>
      </c>
    </row>
    <row r="23" spans="1:6" ht="79.2" x14ac:dyDescent="0.25">
      <c r="A23" s="485" t="s">
        <v>625</v>
      </c>
      <c r="B23" s="1398" t="s">
        <v>624</v>
      </c>
      <c r="C23" s="1399">
        <f>Субсидия!D448+Субсидия!D451</f>
        <v>439529827.77999997</v>
      </c>
      <c r="D23" s="1399">
        <f>Субсидия!E448+Субсидия!E451</f>
        <v>393161527.77999997</v>
      </c>
      <c r="E23" s="1611">
        <f>Субсидия!F448+Субсидия!F451</f>
        <v>17248383.600000001</v>
      </c>
      <c r="F23" s="1399">
        <f>Субсидия!G448+Субсидия!G451</f>
        <v>46368300</v>
      </c>
    </row>
    <row r="24" spans="1:6" x14ac:dyDescent="0.25">
      <c r="A24" s="1400" t="s">
        <v>136</v>
      </c>
      <c r="B24" s="1401"/>
      <c r="C24" s="1402">
        <f>SUM(C6:C23)</f>
        <v>2872842679.3199997</v>
      </c>
      <c r="D24" s="1402">
        <f t="shared" ref="D24:F24" si="0">SUM(D6:D23)</f>
        <v>2826474379.3199997</v>
      </c>
      <c r="E24" s="1402">
        <f t="shared" si="0"/>
        <v>692490927.50999999</v>
      </c>
      <c r="F24" s="1402">
        <f t="shared" si="0"/>
        <v>46368300</v>
      </c>
    </row>
    <row r="25" spans="1:6" x14ac:dyDescent="0.25">
      <c r="C25" s="1403">
        <f>C24-Субсидия!D455</f>
        <v>0</v>
      </c>
      <c r="D25" s="1403">
        <f>D24-Субсидия!E455</f>
        <v>0</v>
      </c>
      <c r="E25" s="1403">
        <f>E24-Субсидия!F455</f>
        <v>0</v>
      </c>
      <c r="F25" s="1403">
        <f>F24-Субсидия!G455</f>
        <v>0</v>
      </c>
    </row>
    <row r="26" spans="1:6" x14ac:dyDescent="0.25">
      <c r="C26" s="1403">
        <f>C24-Субсидия!D461</f>
        <v>0</v>
      </c>
      <c r="D26" s="1403">
        <f>D24-Субсидия!E461-Субсидия!E469-Субсидия!E476</f>
        <v>237623315.39999986</v>
      </c>
      <c r="E26" s="1403">
        <f>E24-Субсидия!F461-Субсидия!F469-Субсидия!F476</f>
        <v>270183589.44</v>
      </c>
    </row>
  </sheetData>
  <mergeCells count="1">
    <mergeCell ref="A2:F2"/>
  </mergeCells>
  <pageMargins left="0.70866141732283472" right="0.70866141732283472" top="0.74803149606299213" bottom="0.74803149606299213" header="0.31496062992125984" footer="0.31496062992125984"/>
  <pageSetup paperSize="9" scale="50" fitToHeight="3"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P37"/>
  <sheetViews>
    <sheetView view="pageBreakPreview" topLeftCell="A2" zoomScale="50" zoomScaleNormal="50" zoomScaleSheetLayoutView="50" workbookViewId="0">
      <pane xSplit="1" ySplit="8" topLeftCell="L22" activePane="bottomRight" state="frozen"/>
      <selection activeCell="D27" sqref="D27"/>
      <selection pane="topRight" activeCell="D27" sqref="D27"/>
      <selection pane="bottomLeft" activeCell="D27" sqref="D27"/>
      <selection pane="bottomRight" activeCell="C30" sqref="C30"/>
    </sheetView>
  </sheetViews>
  <sheetFormatPr defaultColWidth="8.6640625" defaultRowHeight="13.2" x14ac:dyDescent="0.25"/>
  <cols>
    <col min="1" max="10" width="24.109375" style="88" customWidth="1"/>
    <col min="11" max="11" width="21" style="88" customWidth="1"/>
    <col min="12" max="12" width="22.33203125" style="88" bestFit="1" customWidth="1"/>
    <col min="13" max="13" width="23.88671875" style="88" customWidth="1"/>
    <col min="14" max="14" width="24.88671875" style="88" bestFit="1" customWidth="1"/>
    <col min="15" max="28" width="23.44140625" style="88" customWidth="1"/>
    <col min="29" max="44" width="22.88671875" style="88" customWidth="1"/>
    <col min="45" max="52" width="20.44140625" style="88" customWidth="1"/>
    <col min="53" max="60" width="21.5546875" style="88" customWidth="1"/>
    <col min="61" max="68" width="20" style="88" customWidth="1"/>
    <col min="69" max="76" width="22.44140625" style="88" customWidth="1"/>
    <col min="77" max="100" width="22.88671875" style="88" customWidth="1"/>
    <col min="101" max="156" width="22.109375" style="88" customWidth="1"/>
    <col min="157" max="164" width="19.88671875" style="88" customWidth="1"/>
    <col min="165" max="180" width="22.6640625" style="88" customWidth="1"/>
    <col min="181" max="188" width="19.88671875" style="88" customWidth="1"/>
    <col min="189" max="196" width="23.109375" style="88" customWidth="1"/>
    <col min="197" max="204" width="22.44140625" style="88" customWidth="1"/>
    <col min="205" max="212" width="22.33203125" style="88" customWidth="1"/>
    <col min="213" max="220" width="22.109375" style="88" customWidth="1"/>
    <col min="221" max="228" width="23.88671875" style="88" customWidth="1"/>
    <col min="229" max="236" width="23.5546875" style="88" customWidth="1"/>
    <col min="237" max="244" width="22.6640625" style="88" customWidth="1"/>
    <col min="245" max="252" width="21.44140625" style="88" customWidth="1"/>
    <col min="253" max="260" width="22.88671875" style="88" customWidth="1"/>
    <col min="261" max="268" width="19.6640625" style="88" customWidth="1"/>
    <col min="269" max="276" width="22.109375" style="88" customWidth="1"/>
    <col min="277" max="16384" width="8.6640625" style="88"/>
  </cols>
  <sheetData>
    <row r="2" spans="1:276" ht="19.2" x14ac:dyDescent="0.35">
      <c r="O2" s="86" t="s">
        <v>802</v>
      </c>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c r="CA2" s="86"/>
      <c r="CB2" s="86"/>
      <c r="CC2" s="86"/>
      <c r="CD2" s="86"/>
      <c r="CE2" s="86"/>
      <c r="CF2" s="86"/>
      <c r="CG2" s="86"/>
      <c r="CH2" s="86"/>
      <c r="CI2" s="86"/>
      <c r="CJ2" s="86"/>
      <c r="CK2" s="86"/>
      <c r="CL2" s="86"/>
      <c r="CM2" s="86"/>
      <c r="CN2" s="86"/>
      <c r="CO2" s="86"/>
      <c r="CP2" s="86"/>
      <c r="CQ2" s="86"/>
      <c r="CR2" s="86"/>
      <c r="CS2" s="86"/>
      <c r="CT2" s="86"/>
      <c r="CU2" s="86"/>
      <c r="CV2" s="86"/>
      <c r="CW2" s="86"/>
      <c r="CX2" s="86"/>
      <c r="CY2" s="86"/>
      <c r="CZ2" s="86"/>
      <c r="DA2" s="86"/>
      <c r="DB2" s="86"/>
      <c r="DC2" s="86"/>
      <c r="DD2" s="86"/>
      <c r="DE2" s="86"/>
      <c r="DF2" s="86"/>
      <c r="DG2" s="86"/>
      <c r="DH2" s="86"/>
      <c r="DI2" s="86"/>
      <c r="DJ2" s="86"/>
      <c r="DK2" s="86"/>
      <c r="DL2" s="86"/>
      <c r="DM2" s="86"/>
      <c r="DN2" s="86"/>
      <c r="DO2" s="86"/>
      <c r="DP2" s="86"/>
      <c r="DQ2" s="86"/>
      <c r="DR2" s="86"/>
      <c r="DS2" s="86"/>
      <c r="DT2" s="86"/>
      <c r="DU2" s="86"/>
      <c r="DV2" s="86"/>
      <c r="DW2" s="86"/>
      <c r="DX2" s="86"/>
      <c r="DY2" s="86"/>
      <c r="DZ2" s="86"/>
      <c r="EA2" s="86"/>
      <c r="EB2" s="86"/>
      <c r="EC2" s="86"/>
      <c r="ED2" s="86"/>
      <c r="EE2" s="86"/>
      <c r="EF2" s="86"/>
      <c r="EG2" s="86"/>
      <c r="EH2" s="86"/>
      <c r="EI2" s="86"/>
      <c r="EJ2" s="86"/>
      <c r="EK2" s="86"/>
      <c r="EL2" s="86"/>
      <c r="EM2" s="86"/>
      <c r="EN2" s="86"/>
      <c r="EO2" s="86"/>
      <c r="EP2" s="86"/>
      <c r="EQ2" s="86"/>
      <c r="ER2" s="86"/>
      <c r="ES2" s="86"/>
      <c r="ET2" s="86"/>
      <c r="EU2" s="86"/>
      <c r="EV2" s="86"/>
      <c r="EW2" s="86"/>
      <c r="EX2" s="86"/>
      <c r="EY2" s="86"/>
      <c r="EZ2" s="86"/>
      <c r="FA2" s="86"/>
      <c r="FB2" s="86"/>
      <c r="FC2" s="86"/>
      <c r="FD2" s="86"/>
      <c r="FE2" s="86"/>
      <c r="FF2" s="86"/>
      <c r="FG2" s="86"/>
      <c r="FH2" s="86"/>
      <c r="FI2" s="86"/>
      <c r="FJ2" s="86"/>
      <c r="FK2" s="86"/>
      <c r="FL2" s="86"/>
      <c r="FM2" s="86"/>
      <c r="FN2" s="86"/>
      <c r="FO2" s="86"/>
      <c r="FP2" s="86"/>
      <c r="FQ2" s="86"/>
      <c r="FR2" s="86"/>
      <c r="FS2" s="86"/>
      <c r="FT2" s="86"/>
      <c r="FU2" s="86"/>
      <c r="FV2" s="86"/>
      <c r="FW2" s="86"/>
      <c r="FX2" s="86"/>
      <c r="FY2" s="86"/>
      <c r="FZ2" s="86"/>
      <c r="GA2" s="86"/>
      <c r="GB2" s="86"/>
      <c r="GC2" s="86"/>
      <c r="GD2" s="86"/>
      <c r="GE2" s="86"/>
      <c r="GF2" s="86"/>
      <c r="GG2" s="86"/>
      <c r="GH2" s="86"/>
      <c r="GI2" s="86"/>
      <c r="GJ2" s="86"/>
      <c r="GK2" s="86"/>
      <c r="GL2" s="86"/>
      <c r="GM2" s="86"/>
      <c r="GN2" s="86"/>
      <c r="GO2" s="86"/>
      <c r="GP2" s="86"/>
      <c r="GQ2" s="86"/>
      <c r="GR2" s="86"/>
      <c r="GS2" s="86"/>
      <c r="GT2" s="86"/>
      <c r="GU2" s="86"/>
      <c r="GV2" s="86"/>
      <c r="GW2" s="86"/>
      <c r="GX2" s="86"/>
      <c r="GY2" s="86"/>
      <c r="GZ2" s="86"/>
      <c r="HA2" s="86"/>
      <c r="HB2" s="86"/>
      <c r="HC2" s="86"/>
      <c r="HD2" s="86"/>
      <c r="HE2" s="86"/>
      <c r="HF2" s="86"/>
      <c r="HG2" s="86"/>
      <c r="HH2" s="86"/>
      <c r="HI2" s="86"/>
      <c r="HJ2" s="86"/>
      <c r="HK2" s="86"/>
      <c r="HL2" s="86"/>
      <c r="HM2" s="86"/>
      <c r="HN2" s="86"/>
      <c r="HO2" s="86"/>
      <c r="HP2" s="86"/>
      <c r="HQ2" s="86"/>
      <c r="HR2" s="86"/>
      <c r="HS2" s="86"/>
      <c r="HT2" s="86"/>
      <c r="HU2" s="86"/>
      <c r="HV2" s="86"/>
      <c r="HW2" s="86"/>
      <c r="HX2" s="86"/>
      <c r="HY2" s="86"/>
      <c r="HZ2" s="86"/>
      <c r="IA2" s="86"/>
      <c r="IB2" s="86"/>
      <c r="IC2" s="86"/>
      <c r="ID2" s="86"/>
      <c r="IE2" s="86"/>
      <c r="IF2" s="86"/>
      <c r="IG2" s="86"/>
      <c r="IH2" s="86"/>
      <c r="II2" s="86"/>
      <c r="IJ2" s="86"/>
      <c r="IK2" s="86"/>
      <c r="IL2" s="86"/>
      <c r="IM2" s="86"/>
      <c r="IN2" s="86"/>
      <c r="IO2" s="86"/>
      <c r="IP2" s="86"/>
      <c r="IQ2" s="86"/>
      <c r="IR2" s="86"/>
      <c r="IS2" s="86"/>
      <c r="IT2" s="86"/>
      <c r="IU2" s="86"/>
      <c r="IV2" s="86"/>
      <c r="IW2" s="86"/>
      <c r="IX2" s="86"/>
      <c r="IY2" s="86"/>
      <c r="IZ2" s="86"/>
      <c r="JA2" s="86"/>
      <c r="JB2" s="86"/>
      <c r="JC2" s="86"/>
      <c r="JD2" s="86"/>
      <c r="JE2" s="86"/>
      <c r="JF2" s="86"/>
      <c r="JG2" s="86"/>
      <c r="JH2" s="86"/>
      <c r="JI2" s="86"/>
      <c r="JJ2" s="86"/>
      <c r="JK2" s="86"/>
      <c r="JL2" s="86"/>
      <c r="JM2" s="86"/>
      <c r="JN2" s="86"/>
      <c r="JO2" s="86"/>
      <c r="JP2" s="86"/>
    </row>
    <row r="3" spans="1:276" ht="19.2" x14ac:dyDescent="0.35">
      <c r="P3" s="510" t="str">
        <f>'Район  и  поселения'!E3</f>
        <v>ПО  СОСТОЯНИЮ  НА  1  ИЮЛЯ  2020  ГОДА</v>
      </c>
      <c r="AH3" s="510"/>
      <c r="AI3" s="510"/>
      <c r="AJ3" s="510"/>
      <c r="AK3" s="510"/>
      <c r="AL3" s="510"/>
      <c r="AM3" s="510"/>
      <c r="AN3" s="510"/>
      <c r="AO3" s="510"/>
      <c r="AP3" s="510"/>
      <c r="AQ3" s="510"/>
      <c r="AR3" s="510"/>
    </row>
    <row r="5" spans="1:276" ht="13.8" thickBot="1" x14ac:dyDescent="0.3">
      <c r="M5" s="90"/>
      <c r="N5" s="90"/>
      <c r="O5" s="90"/>
      <c r="P5" s="90"/>
    </row>
    <row r="6" spans="1:276" ht="47.1" customHeight="1" thickBot="1" x14ac:dyDescent="0.3">
      <c r="A6" s="1850" t="s">
        <v>64</v>
      </c>
      <c r="B6" s="1852" t="s">
        <v>878</v>
      </c>
      <c r="C6" s="1862"/>
      <c r="D6" s="1862"/>
      <c r="E6" s="1862"/>
      <c r="F6" s="1862"/>
      <c r="G6" s="1862"/>
      <c r="H6" s="1862"/>
      <c r="I6" s="1853"/>
      <c r="J6" s="1585"/>
      <c r="K6" s="1396"/>
      <c r="L6" s="1396"/>
      <c r="M6" s="1897" t="s">
        <v>803</v>
      </c>
      <c r="N6" s="1898"/>
      <c r="O6" s="1898"/>
      <c r="P6" s="1898"/>
      <c r="Q6" s="1898"/>
      <c r="R6" s="1898"/>
      <c r="S6" s="1898"/>
      <c r="T6" s="1898"/>
      <c r="U6" s="1898"/>
      <c r="V6" s="1898"/>
      <c r="W6" s="1898"/>
      <c r="X6" s="1898"/>
      <c r="Y6" s="1898"/>
      <c r="Z6" s="1898"/>
      <c r="AA6" s="1898"/>
      <c r="AB6" s="1898"/>
      <c r="AC6" s="1898"/>
      <c r="AD6" s="1898"/>
      <c r="AE6" s="1898"/>
      <c r="AF6" s="1898"/>
      <c r="AG6" s="1898"/>
      <c r="AH6" s="1898"/>
      <c r="AI6" s="1898"/>
      <c r="AJ6" s="1898"/>
      <c r="AK6" s="1898"/>
      <c r="AL6" s="1898"/>
      <c r="AM6" s="1898"/>
      <c r="AN6" s="1898"/>
      <c r="AO6" s="1898"/>
      <c r="AP6" s="1898"/>
      <c r="AQ6" s="1898"/>
      <c r="AR6" s="1898"/>
      <c r="AS6" s="1898"/>
      <c r="AT6" s="1898"/>
      <c r="AU6" s="1898"/>
      <c r="AV6" s="1898"/>
      <c r="AW6" s="1898"/>
      <c r="AX6" s="1898"/>
      <c r="AY6" s="1898"/>
      <c r="AZ6" s="1898"/>
      <c r="BA6" s="1898"/>
      <c r="BB6" s="1898"/>
      <c r="BC6" s="1898"/>
      <c r="BD6" s="1898"/>
      <c r="BE6" s="1898"/>
      <c r="BF6" s="1898"/>
      <c r="BG6" s="1898"/>
      <c r="BH6" s="1898"/>
      <c r="BI6" s="1898"/>
      <c r="BJ6" s="1898"/>
      <c r="BK6" s="1898"/>
      <c r="BL6" s="1898"/>
      <c r="BM6" s="1898"/>
      <c r="BN6" s="1898"/>
      <c r="BO6" s="1898"/>
      <c r="BP6" s="1898"/>
      <c r="BQ6" s="1898"/>
      <c r="BR6" s="1898"/>
      <c r="BS6" s="1898"/>
      <c r="BT6" s="1898"/>
      <c r="BU6" s="1898"/>
      <c r="BV6" s="1898"/>
      <c r="BW6" s="1898"/>
      <c r="BX6" s="1898"/>
      <c r="BY6" s="1898"/>
      <c r="BZ6" s="1898"/>
      <c r="CA6" s="1898"/>
      <c r="CB6" s="1898"/>
      <c r="CC6" s="1898"/>
      <c r="CD6" s="1898"/>
      <c r="CE6" s="1898"/>
      <c r="CF6" s="1898"/>
      <c r="CG6" s="1898"/>
      <c r="CH6" s="1898"/>
      <c r="CI6" s="1898"/>
      <c r="CJ6" s="1898"/>
      <c r="CK6" s="1898"/>
      <c r="CL6" s="1898"/>
      <c r="CM6" s="1898"/>
      <c r="CN6" s="1898"/>
      <c r="CO6" s="1898"/>
      <c r="CP6" s="1898"/>
      <c r="CQ6" s="1898"/>
      <c r="CR6" s="1898"/>
      <c r="CS6" s="1898"/>
      <c r="CT6" s="1898"/>
      <c r="CU6" s="1898"/>
      <c r="CV6" s="1898"/>
      <c r="CW6" s="1898"/>
      <c r="CX6" s="1898"/>
      <c r="CY6" s="1898"/>
      <c r="CZ6" s="1898"/>
      <c r="DA6" s="1898"/>
      <c r="DB6" s="1898"/>
      <c r="DC6" s="1898"/>
      <c r="DD6" s="1898"/>
      <c r="DE6" s="1898"/>
      <c r="DF6" s="1898"/>
      <c r="DG6" s="1898"/>
      <c r="DH6" s="1898"/>
      <c r="DI6" s="1898"/>
      <c r="DJ6" s="1898"/>
      <c r="DK6" s="1898"/>
      <c r="DL6" s="1898"/>
      <c r="DM6" s="1898"/>
      <c r="DN6" s="1898"/>
      <c r="DO6" s="1898"/>
      <c r="DP6" s="1898"/>
      <c r="DQ6" s="1898"/>
      <c r="DR6" s="1898"/>
      <c r="DS6" s="1898"/>
      <c r="DT6" s="1898"/>
      <c r="DU6" s="1898"/>
      <c r="DV6" s="1898"/>
      <c r="DW6" s="1898"/>
      <c r="DX6" s="1898"/>
      <c r="DY6" s="1898"/>
      <c r="DZ6" s="1898"/>
      <c r="EA6" s="1898"/>
      <c r="EB6" s="1898"/>
      <c r="EC6" s="1898"/>
      <c r="ED6" s="1898"/>
      <c r="EE6" s="1898"/>
      <c r="EF6" s="1898"/>
      <c r="EG6" s="1898"/>
      <c r="EH6" s="1898"/>
      <c r="EI6" s="1898"/>
      <c r="EJ6" s="1898"/>
      <c r="EK6" s="1898"/>
      <c r="EL6" s="1898"/>
      <c r="EM6" s="1898"/>
      <c r="EN6" s="1898"/>
      <c r="EO6" s="1898"/>
      <c r="EP6" s="1898"/>
      <c r="EQ6" s="1898"/>
      <c r="ER6" s="1898"/>
      <c r="ES6" s="1898"/>
      <c r="ET6" s="1898"/>
      <c r="EU6" s="1898"/>
      <c r="EV6" s="1898"/>
      <c r="EW6" s="1898"/>
      <c r="EX6" s="1898"/>
      <c r="EY6" s="1898"/>
      <c r="EZ6" s="1898"/>
      <c r="FA6" s="1898"/>
      <c r="FB6" s="1898"/>
      <c r="FC6" s="1898"/>
      <c r="FD6" s="1898"/>
      <c r="FE6" s="1898"/>
      <c r="FF6" s="1898"/>
      <c r="FG6" s="1898"/>
      <c r="FH6" s="1898"/>
      <c r="FI6" s="1898"/>
      <c r="FJ6" s="1898"/>
      <c r="FK6" s="1898"/>
      <c r="FL6" s="1898"/>
      <c r="FM6" s="1898"/>
      <c r="FN6" s="1898"/>
      <c r="FO6" s="1898"/>
      <c r="FP6" s="1898"/>
      <c r="FQ6" s="1898"/>
      <c r="FR6" s="1898"/>
      <c r="FS6" s="1898"/>
      <c r="FT6" s="1898"/>
      <c r="FU6" s="1898"/>
      <c r="FV6" s="1898"/>
      <c r="FW6" s="1898"/>
      <c r="FX6" s="1898"/>
      <c r="FY6" s="1898"/>
      <c r="FZ6" s="1898"/>
      <c r="GA6" s="1898"/>
      <c r="GB6" s="1898"/>
      <c r="GC6" s="1898"/>
      <c r="GD6" s="1898"/>
      <c r="GE6" s="1898"/>
      <c r="GF6" s="1898"/>
      <c r="GG6" s="1898"/>
      <c r="GH6" s="1898"/>
      <c r="GI6" s="1898"/>
      <c r="GJ6" s="1898"/>
      <c r="GK6" s="1898"/>
      <c r="GL6" s="1898"/>
      <c r="GM6" s="1898"/>
      <c r="GN6" s="1898"/>
      <c r="GO6" s="1898"/>
      <c r="GP6" s="1898"/>
      <c r="GQ6" s="1898"/>
      <c r="GR6" s="1898"/>
      <c r="GS6" s="1898"/>
      <c r="GT6" s="1898"/>
      <c r="GU6" s="1898"/>
      <c r="GV6" s="1898"/>
      <c r="GW6" s="1898"/>
      <c r="GX6" s="1898"/>
      <c r="GY6" s="1898"/>
      <c r="GZ6" s="1898"/>
      <c r="HA6" s="1898"/>
      <c r="HB6" s="1898"/>
      <c r="HC6" s="1898"/>
      <c r="HD6" s="1898"/>
      <c r="HE6" s="1898"/>
      <c r="HF6" s="1898"/>
      <c r="HG6" s="1898"/>
      <c r="HH6" s="1898"/>
      <c r="HI6" s="1898"/>
      <c r="HJ6" s="1898"/>
      <c r="HK6" s="1898"/>
      <c r="HL6" s="1898"/>
      <c r="HM6" s="1898"/>
      <c r="HN6" s="1898"/>
      <c r="HO6" s="1898"/>
      <c r="HP6" s="1898"/>
      <c r="HQ6" s="1898"/>
      <c r="HR6" s="1898"/>
      <c r="HS6" s="1898"/>
      <c r="HT6" s="1898"/>
      <c r="HU6" s="1898"/>
      <c r="HV6" s="1898"/>
      <c r="HW6" s="1898"/>
      <c r="HX6" s="1898"/>
      <c r="HY6" s="1898"/>
      <c r="HZ6" s="1898"/>
      <c r="IA6" s="1898"/>
      <c r="IB6" s="1898"/>
      <c r="IC6" s="1898"/>
      <c r="ID6" s="1898"/>
      <c r="IE6" s="1898"/>
      <c r="IF6" s="1898"/>
      <c r="IG6" s="1898"/>
      <c r="IH6" s="1898"/>
      <c r="II6" s="1898"/>
      <c r="IJ6" s="1898"/>
      <c r="IK6" s="1898"/>
      <c r="IL6" s="1898"/>
      <c r="IM6" s="1898"/>
      <c r="IN6" s="1898"/>
      <c r="IO6" s="1898"/>
      <c r="IP6" s="1898"/>
      <c r="IQ6" s="1898"/>
      <c r="IR6" s="1898"/>
      <c r="IS6" s="1898"/>
      <c r="IT6" s="1898"/>
      <c r="IU6" s="1898"/>
      <c r="IV6" s="1898"/>
      <c r="IW6" s="1898"/>
      <c r="IX6" s="1898"/>
      <c r="IY6" s="1898"/>
      <c r="IZ6" s="1898"/>
      <c r="JA6" s="1898"/>
      <c r="JB6" s="1898"/>
      <c r="JC6" s="1898"/>
      <c r="JD6" s="1898"/>
      <c r="JE6" s="1898"/>
      <c r="JF6" s="1898"/>
      <c r="JG6" s="1898"/>
      <c r="JH6" s="1898"/>
      <c r="JI6" s="1898"/>
      <c r="JJ6" s="1898"/>
      <c r="JK6" s="1898"/>
      <c r="JL6" s="1898"/>
      <c r="JM6" s="1898"/>
      <c r="JN6" s="1898"/>
      <c r="JO6" s="1898"/>
      <c r="JP6" s="1898"/>
    </row>
    <row r="7" spans="1:276" ht="98.4" customHeight="1" thickBot="1" x14ac:dyDescent="0.3">
      <c r="A7" s="1851"/>
      <c r="B7" s="1851" t="s">
        <v>16</v>
      </c>
      <c r="C7" s="1936" t="s">
        <v>804</v>
      </c>
      <c r="D7" s="1936" t="s">
        <v>41</v>
      </c>
      <c r="E7" s="1936" t="s">
        <v>40</v>
      </c>
      <c r="F7" s="1851" t="s">
        <v>17</v>
      </c>
      <c r="G7" s="1936" t="s">
        <v>804</v>
      </c>
      <c r="H7" s="1936" t="s">
        <v>41</v>
      </c>
      <c r="I7" s="1936" t="s">
        <v>40</v>
      </c>
      <c r="J7" s="1586"/>
      <c r="K7" s="1395"/>
      <c r="L7" s="1395"/>
      <c r="M7" s="1851" t="s">
        <v>16</v>
      </c>
      <c r="N7" s="1935" t="s">
        <v>804</v>
      </c>
      <c r="O7" s="1935" t="s">
        <v>41</v>
      </c>
      <c r="P7" s="1935" t="s">
        <v>40</v>
      </c>
      <c r="Q7" s="1851" t="s">
        <v>17</v>
      </c>
      <c r="R7" s="1935" t="s">
        <v>804</v>
      </c>
      <c r="S7" s="1935" t="s">
        <v>41</v>
      </c>
      <c r="T7" s="1935" t="s">
        <v>40</v>
      </c>
      <c r="U7" s="1887" t="s">
        <v>821</v>
      </c>
      <c r="V7" s="1930"/>
      <c r="W7" s="1930"/>
      <c r="X7" s="1930"/>
      <c r="Y7" s="1930"/>
      <c r="Z7" s="1930"/>
      <c r="AA7" s="1930"/>
      <c r="AB7" s="1888"/>
      <c r="AC7" s="1887" t="s">
        <v>817</v>
      </c>
      <c r="AD7" s="1930"/>
      <c r="AE7" s="1930"/>
      <c r="AF7" s="1930"/>
      <c r="AG7" s="1930"/>
      <c r="AH7" s="1930"/>
      <c r="AI7" s="1930"/>
      <c r="AJ7" s="1888"/>
      <c r="AK7" s="1887" t="s">
        <v>576</v>
      </c>
      <c r="AL7" s="1930"/>
      <c r="AM7" s="1930"/>
      <c r="AN7" s="1930"/>
      <c r="AO7" s="1930"/>
      <c r="AP7" s="1930"/>
      <c r="AQ7" s="1930"/>
      <c r="AR7" s="1888"/>
      <c r="AS7" s="1932" t="s">
        <v>805</v>
      </c>
      <c r="AT7" s="1933"/>
      <c r="AU7" s="1933"/>
      <c r="AV7" s="1933"/>
      <c r="AW7" s="1933"/>
      <c r="AX7" s="1933"/>
      <c r="AY7" s="1933"/>
      <c r="AZ7" s="1933"/>
      <c r="BA7" s="1933"/>
      <c r="BB7" s="1933"/>
      <c r="BC7" s="1933"/>
      <c r="BD7" s="1933"/>
      <c r="BE7" s="1933"/>
      <c r="BF7" s="1933"/>
      <c r="BG7" s="1933"/>
      <c r="BH7" s="1934"/>
      <c r="BI7" s="1887" t="s">
        <v>806</v>
      </c>
      <c r="BJ7" s="1930"/>
      <c r="BK7" s="1930"/>
      <c r="BL7" s="1930"/>
      <c r="BM7" s="1930"/>
      <c r="BN7" s="1930"/>
      <c r="BO7" s="1930"/>
      <c r="BP7" s="1888"/>
      <c r="BQ7" s="1932" t="s">
        <v>450</v>
      </c>
      <c r="BR7" s="1933"/>
      <c r="BS7" s="1933"/>
      <c r="BT7" s="1933"/>
      <c r="BU7" s="1933"/>
      <c r="BV7" s="1933"/>
      <c r="BW7" s="1933"/>
      <c r="BX7" s="1933"/>
      <c r="BY7" s="1933"/>
      <c r="BZ7" s="1933"/>
      <c r="CA7" s="1933"/>
      <c r="CB7" s="1933"/>
      <c r="CC7" s="1933"/>
      <c r="CD7" s="1933"/>
      <c r="CE7" s="1933"/>
      <c r="CF7" s="1934"/>
      <c r="CG7" s="1858" t="s">
        <v>481</v>
      </c>
      <c r="CH7" s="1860"/>
      <c r="CI7" s="1860"/>
      <c r="CJ7" s="1860"/>
      <c r="CK7" s="1860"/>
      <c r="CL7" s="1860"/>
      <c r="CM7" s="1860"/>
      <c r="CN7" s="1859"/>
      <c r="CO7" s="1887" t="s">
        <v>604</v>
      </c>
      <c r="CP7" s="1930"/>
      <c r="CQ7" s="1930"/>
      <c r="CR7" s="1930"/>
      <c r="CS7" s="1930"/>
      <c r="CT7" s="1930"/>
      <c r="CU7" s="1930"/>
      <c r="CV7" s="1888"/>
      <c r="CW7" s="1887" t="s">
        <v>807</v>
      </c>
      <c r="CX7" s="1930"/>
      <c r="CY7" s="1930"/>
      <c r="CZ7" s="1930"/>
      <c r="DA7" s="1930"/>
      <c r="DB7" s="1930"/>
      <c r="DC7" s="1930"/>
      <c r="DD7" s="1888"/>
      <c r="DE7" s="1887" t="s">
        <v>779</v>
      </c>
      <c r="DF7" s="1930"/>
      <c r="DG7" s="1930"/>
      <c r="DH7" s="1930"/>
      <c r="DI7" s="1930"/>
      <c r="DJ7" s="1930"/>
      <c r="DK7" s="1930"/>
      <c r="DL7" s="1888"/>
      <c r="DM7" s="1887" t="s">
        <v>785</v>
      </c>
      <c r="DN7" s="1930"/>
      <c r="DO7" s="1930"/>
      <c r="DP7" s="1930"/>
      <c r="DQ7" s="1930"/>
      <c r="DR7" s="1930"/>
      <c r="DS7" s="1930"/>
      <c r="DT7" s="1888"/>
      <c r="DU7" s="1852" t="s">
        <v>724</v>
      </c>
      <c r="DV7" s="1862"/>
      <c r="DW7" s="1862"/>
      <c r="DX7" s="1862"/>
      <c r="DY7" s="1862"/>
      <c r="DZ7" s="1862"/>
      <c r="EA7" s="1862"/>
      <c r="EB7" s="1862"/>
      <c r="EC7" s="1862"/>
      <c r="ED7" s="1862"/>
      <c r="EE7" s="1862"/>
      <c r="EF7" s="1862"/>
      <c r="EG7" s="1862"/>
      <c r="EH7" s="1862"/>
      <c r="EI7" s="1862"/>
      <c r="EJ7" s="1853"/>
      <c r="EK7" s="1887" t="s">
        <v>853</v>
      </c>
      <c r="EL7" s="1930"/>
      <c r="EM7" s="1930"/>
      <c r="EN7" s="1930"/>
      <c r="EO7" s="1930"/>
      <c r="EP7" s="1930"/>
      <c r="EQ7" s="1930"/>
      <c r="ER7" s="1888"/>
      <c r="ES7" s="1887" t="s">
        <v>901</v>
      </c>
      <c r="ET7" s="1930"/>
      <c r="EU7" s="1930"/>
      <c r="EV7" s="1930"/>
      <c r="EW7" s="1930"/>
      <c r="EX7" s="1930"/>
      <c r="EY7" s="1930"/>
      <c r="EZ7" s="1888"/>
      <c r="FA7" s="1887" t="s">
        <v>440</v>
      </c>
      <c r="FB7" s="1930"/>
      <c r="FC7" s="1930"/>
      <c r="FD7" s="1930"/>
      <c r="FE7" s="1930"/>
      <c r="FF7" s="1930"/>
      <c r="FG7" s="1930"/>
      <c r="FH7" s="1888"/>
      <c r="FI7" s="1887" t="s">
        <v>670</v>
      </c>
      <c r="FJ7" s="1930"/>
      <c r="FK7" s="1930"/>
      <c r="FL7" s="1930"/>
      <c r="FM7" s="1930"/>
      <c r="FN7" s="1930"/>
      <c r="FO7" s="1930"/>
      <c r="FP7" s="1888"/>
      <c r="FQ7" s="1852" t="s">
        <v>553</v>
      </c>
      <c r="FR7" s="1862"/>
      <c r="FS7" s="1862"/>
      <c r="FT7" s="1862"/>
      <c r="FU7" s="1862"/>
      <c r="FV7" s="1862"/>
      <c r="FW7" s="1862"/>
      <c r="FX7" s="1853"/>
      <c r="FY7" s="1852" t="s">
        <v>387</v>
      </c>
      <c r="FZ7" s="1862"/>
      <c r="GA7" s="1862"/>
      <c r="GB7" s="1862"/>
      <c r="GC7" s="1862"/>
      <c r="GD7" s="1862"/>
      <c r="GE7" s="1862"/>
      <c r="GF7" s="1862"/>
      <c r="GG7" s="1862"/>
      <c r="GH7" s="1862"/>
      <c r="GI7" s="1862"/>
      <c r="GJ7" s="1862"/>
      <c r="GK7" s="1862"/>
      <c r="GL7" s="1862"/>
      <c r="GM7" s="1862"/>
      <c r="GN7" s="1853"/>
      <c r="GO7" s="1852" t="s">
        <v>384</v>
      </c>
      <c r="GP7" s="1862"/>
      <c r="GQ7" s="1862"/>
      <c r="GR7" s="1862"/>
      <c r="GS7" s="1862"/>
      <c r="GT7" s="1862"/>
      <c r="GU7" s="1862"/>
      <c r="GV7" s="1862"/>
      <c r="GW7" s="1862"/>
      <c r="GX7" s="1862"/>
      <c r="GY7" s="1862"/>
      <c r="GZ7" s="1862"/>
      <c r="HA7" s="1862"/>
      <c r="HB7" s="1862"/>
      <c r="HC7" s="1862"/>
      <c r="HD7" s="1853"/>
      <c r="HE7" s="1852" t="s">
        <v>808</v>
      </c>
      <c r="HF7" s="1862"/>
      <c r="HG7" s="1862"/>
      <c r="HH7" s="1862"/>
      <c r="HI7" s="1862"/>
      <c r="HJ7" s="1862"/>
      <c r="HK7" s="1862"/>
      <c r="HL7" s="1862"/>
      <c r="HM7" s="1862"/>
      <c r="HN7" s="1862"/>
      <c r="HO7" s="1862"/>
      <c r="HP7" s="1862"/>
      <c r="HQ7" s="1862"/>
      <c r="HR7" s="1862"/>
      <c r="HS7" s="1862"/>
      <c r="HT7" s="1862"/>
      <c r="HU7" s="1852" t="s">
        <v>656</v>
      </c>
      <c r="HV7" s="1862"/>
      <c r="HW7" s="1862"/>
      <c r="HX7" s="1862"/>
      <c r="HY7" s="1862"/>
      <c r="HZ7" s="1862"/>
      <c r="IA7" s="1862"/>
      <c r="IB7" s="1853"/>
      <c r="IC7" s="1858" t="s">
        <v>631</v>
      </c>
      <c r="ID7" s="1860"/>
      <c r="IE7" s="1860"/>
      <c r="IF7" s="1860"/>
      <c r="IG7" s="1860"/>
      <c r="IH7" s="1860"/>
      <c r="II7" s="1860"/>
      <c r="IJ7" s="1859"/>
      <c r="IK7" s="1852" t="s">
        <v>602</v>
      </c>
      <c r="IL7" s="1862"/>
      <c r="IM7" s="1862"/>
      <c r="IN7" s="1862"/>
      <c r="IO7" s="1862"/>
      <c r="IP7" s="1862"/>
      <c r="IQ7" s="1862"/>
      <c r="IR7" s="1853"/>
      <c r="IS7" s="1858" t="s">
        <v>628</v>
      </c>
      <c r="IT7" s="1860"/>
      <c r="IU7" s="1860"/>
      <c r="IV7" s="1860"/>
      <c r="IW7" s="1860"/>
      <c r="IX7" s="1860"/>
      <c r="IY7" s="1860"/>
      <c r="IZ7" s="1860"/>
      <c r="JA7" s="1860"/>
      <c r="JB7" s="1860"/>
      <c r="JC7" s="1860"/>
      <c r="JD7" s="1860"/>
      <c r="JE7" s="1860"/>
      <c r="JF7" s="1860"/>
      <c r="JG7" s="1860"/>
      <c r="JH7" s="1860"/>
      <c r="JI7" s="1860"/>
      <c r="JJ7" s="1860"/>
      <c r="JK7" s="1860"/>
      <c r="JL7" s="1860"/>
      <c r="JM7" s="1860"/>
      <c r="JN7" s="1860"/>
      <c r="JO7" s="1860"/>
      <c r="JP7" s="1860"/>
    </row>
    <row r="8" spans="1:276" ht="177.6" customHeight="1" thickBot="1" x14ac:dyDescent="0.3">
      <c r="A8" s="1851"/>
      <c r="B8" s="1851"/>
      <c r="C8" s="1936"/>
      <c r="D8" s="1936"/>
      <c r="E8" s="1936"/>
      <c r="F8" s="1851"/>
      <c r="G8" s="1936"/>
      <c r="H8" s="1936"/>
      <c r="I8" s="1936"/>
      <c r="J8" s="1586"/>
      <c r="K8" s="1395"/>
      <c r="L8" s="1395"/>
      <c r="M8" s="1851"/>
      <c r="N8" s="1936"/>
      <c r="O8" s="1936"/>
      <c r="P8" s="1936"/>
      <c r="Q8" s="1851"/>
      <c r="R8" s="1936"/>
      <c r="S8" s="1936"/>
      <c r="T8" s="1936"/>
      <c r="U8" s="1856"/>
      <c r="V8" s="1861"/>
      <c r="W8" s="1861"/>
      <c r="X8" s="1861"/>
      <c r="Y8" s="1861"/>
      <c r="Z8" s="1861"/>
      <c r="AA8" s="1861"/>
      <c r="AB8" s="1857"/>
      <c r="AC8" s="1856"/>
      <c r="AD8" s="1861"/>
      <c r="AE8" s="1861"/>
      <c r="AF8" s="1861"/>
      <c r="AG8" s="1861"/>
      <c r="AH8" s="1861"/>
      <c r="AI8" s="1861"/>
      <c r="AJ8" s="1857"/>
      <c r="AK8" s="1856"/>
      <c r="AL8" s="1861"/>
      <c r="AM8" s="1861"/>
      <c r="AN8" s="1861"/>
      <c r="AO8" s="1861"/>
      <c r="AP8" s="1861"/>
      <c r="AQ8" s="1861"/>
      <c r="AR8" s="1857"/>
      <c r="AS8" s="1852" t="s">
        <v>335</v>
      </c>
      <c r="AT8" s="1862"/>
      <c r="AU8" s="1862"/>
      <c r="AV8" s="1862"/>
      <c r="AW8" s="1862"/>
      <c r="AX8" s="1862"/>
      <c r="AY8" s="1862"/>
      <c r="AZ8" s="1853"/>
      <c r="BA8" s="1852" t="s">
        <v>256</v>
      </c>
      <c r="BB8" s="1862"/>
      <c r="BC8" s="1862"/>
      <c r="BD8" s="1862"/>
      <c r="BE8" s="1862"/>
      <c r="BF8" s="1862"/>
      <c r="BG8" s="1862"/>
      <c r="BH8" s="1853"/>
      <c r="BI8" s="1856"/>
      <c r="BJ8" s="1861"/>
      <c r="BK8" s="1861"/>
      <c r="BL8" s="1861"/>
      <c r="BM8" s="1861"/>
      <c r="BN8" s="1861"/>
      <c r="BO8" s="1861"/>
      <c r="BP8" s="1857"/>
      <c r="BQ8" s="1852" t="s">
        <v>534</v>
      </c>
      <c r="BR8" s="1862"/>
      <c r="BS8" s="1862"/>
      <c r="BT8" s="1862"/>
      <c r="BU8" s="1862"/>
      <c r="BV8" s="1862"/>
      <c r="BW8" s="1862"/>
      <c r="BX8" s="1853"/>
      <c r="BY8" s="1852" t="s">
        <v>536</v>
      </c>
      <c r="BZ8" s="1862"/>
      <c r="CA8" s="1862"/>
      <c r="CB8" s="1862"/>
      <c r="CC8" s="1862"/>
      <c r="CD8" s="1862"/>
      <c r="CE8" s="1862"/>
      <c r="CF8" s="1853"/>
      <c r="CG8" s="1852" t="s">
        <v>538</v>
      </c>
      <c r="CH8" s="1862"/>
      <c r="CI8" s="1862"/>
      <c r="CJ8" s="1862"/>
      <c r="CK8" s="1862"/>
      <c r="CL8" s="1862"/>
      <c r="CM8" s="1862"/>
      <c r="CN8" s="1853"/>
      <c r="CO8" s="1856"/>
      <c r="CP8" s="1861"/>
      <c r="CQ8" s="1861"/>
      <c r="CR8" s="1861"/>
      <c r="CS8" s="1861"/>
      <c r="CT8" s="1861"/>
      <c r="CU8" s="1861"/>
      <c r="CV8" s="1857"/>
      <c r="CW8" s="1856"/>
      <c r="CX8" s="1861"/>
      <c r="CY8" s="1861"/>
      <c r="CZ8" s="1861"/>
      <c r="DA8" s="1861"/>
      <c r="DB8" s="1861"/>
      <c r="DC8" s="1861"/>
      <c r="DD8" s="1857"/>
      <c r="DE8" s="1856"/>
      <c r="DF8" s="1861"/>
      <c r="DG8" s="1861"/>
      <c r="DH8" s="1861"/>
      <c r="DI8" s="1861"/>
      <c r="DJ8" s="1861"/>
      <c r="DK8" s="1861"/>
      <c r="DL8" s="1857"/>
      <c r="DM8" s="1856"/>
      <c r="DN8" s="1861"/>
      <c r="DO8" s="1861"/>
      <c r="DP8" s="1861"/>
      <c r="DQ8" s="1861"/>
      <c r="DR8" s="1861"/>
      <c r="DS8" s="1861"/>
      <c r="DT8" s="1857"/>
      <c r="DU8" s="1852" t="s">
        <v>774</v>
      </c>
      <c r="DV8" s="1862"/>
      <c r="DW8" s="1862"/>
      <c r="DX8" s="1862"/>
      <c r="DY8" s="1862"/>
      <c r="DZ8" s="1862"/>
      <c r="EA8" s="1862"/>
      <c r="EB8" s="1853"/>
      <c r="EC8" s="1852" t="s">
        <v>773</v>
      </c>
      <c r="ED8" s="1862"/>
      <c r="EE8" s="1862"/>
      <c r="EF8" s="1862"/>
      <c r="EG8" s="1862"/>
      <c r="EH8" s="1862"/>
      <c r="EI8" s="1862"/>
      <c r="EJ8" s="1853"/>
      <c r="EK8" s="1856"/>
      <c r="EL8" s="1861"/>
      <c r="EM8" s="1861"/>
      <c r="EN8" s="1861"/>
      <c r="EO8" s="1861"/>
      <c r="EP8" s="1861"/>
      <c r="EQ8" s="1861"/>
      <c r="ER8" s="1857"/>
      <c r="ES8" s="1856"/>
      <c r="ET8" s="1861"/>
      <c r="EU8" s="1861"/>
      <c r="EV8" s="1861"/>
      <c r="EW8" s="1861"/>
      <c r="EX8" s="1861"/>
      <c r="EY8" s="1861"/>
      <c r="EZ8" s="1857"/>
      <c r="FA8" s="1856"/>
      <c r="FB8" s="1861"/>
      <c r="FC8" s="1861"/>
      <c r="FD8" s="1861"/>
      <c r="FE8" s="1861"/>
      <c r="FF8" s="1861"/>
      <c r="FG8" s="1861"/>
      <c r="FH8" s="1857"/>
      <c r="FI8" s="1856"/>
      <c r="FJ8" s="1861"/>
      <c r="FK8" s="1861"/>
      <c r="FL8" s="1861"/>
      <c r="FM8" s="1861"/>
      <c r="FN8" s="1861"/>
      <c r="FO8" s="1861"/>
      <c r="FP8" s="1857"/>
      <c r="FQ8" s="1852" t="s">
        <v>558</v>
      </c>
      <c r="FR8" s="1862"/>
      <c r="FS8" s="1862"/>
      <c r="FT8" s="1862"/>
      <c r="FU8" s="1862"/>
      <c r="FV8" s="1862"/>
      <c r="FW8" s="1862"/>
      <c r="FX8" s="1853"/>
      <c r="FY8" s="1852" t="s">
        <v>255</v>
      </c>
      <c r="FZ8" s="1862"/>
      <c r="GA8" s="1862"/>
      <c r="GB8" s="1862"/>
      <c r="GC8" s="1862"/>
      <c r="GD8" s="1862"/>
      <c r="GE8" s="1862"/>
      <c r="GF8" s="1853"/>
      <c r="GG8" s="1852" t="s">
        <v>331</v>
      </c>
      <c r="GH8" s="1862"/>
      <c r="GI8" s="1862"/>
      <c r="GJ8" s="1862"/>
      <c r="GK8" s="1862"/>
      <c r="GL8" s="1862"/>
      <c r="GM8" s="1862"/>
      <c r="GN8" s="1853"/>
      <c r="GO8" s="1852" t="s">
        <v>730</v>
      </c>
      <c r="GP8" s="1862"/>
      <c r="GQ8" s="1862"/>
      <c r="GR8" s="1862"/>
      <c r="GS8" s="1862"/>
      <c r="GT8" s="1862"/>
      <c r="GU8" s="1862"/>
      <c r="GV8" s="1853"/>
      <c r="GW8" s="1852" t="s">
        <v>731</v>
      </c>
      <c r="GX8" s="1862"/>
      <c r="GY8" s="1862"/>
      <c r="GZ8" s="1862"/>
      <c r="HA8" s="1862"/>
      <c r="HB8" s="1862"/>
      <c r="HC8" s="1862"/>
      <c r="HD8" s="1853"/>
      <c r="HE8" s="1852" t="s">
        <v>271</v>
      </c>
      <c r="HF8" s="1862"/>
      <c r="HG8" s="1862"/>
      <c r="HH8" s="1862"/>
      <c r="HI8" s="1862"/>
      <c r="HJ8" s="1862"/>
      <c r="HK8" s="1862"/>
      <c r="HL8" s="1853"/>
      <c r="HM8" s="1852" t="s">
        <v>318</v>
      </c>
      <c r="HN8" s="1862"/>
      <c r="HO8" s="1862"/>
      <c r="HP8" s="1862"/>
      <c r="HQ8" s="1862"/>
      <c r="HR8" s="1862"/>
      <c r="HS8" s="1862"/>
      <c r="HT8" s="1853"/>
      <c r="HU8" s="1852" t="s">
        <v>612</v>
      </c>
      <c r="HV8" s="1862"/>
      <c r="HW8" s="1862"/>
      <c r="HX8" s="1862"/>
      <c r="HY8" s="1862"/>
      <c r="HZ8" s="1862"/>
      <c r="IA8" s="1862"/>
      <c r="IB8" s="1853"/>
      <c r="IC8" s="1852" t="s">
        <v>630</v>
      </c>
      <c r="ID8" s="1862"/>
      <c r="IE8" s="1862"/>
      <c r="IF8" s="1862"/>
      <c r="IG8" s="1862"/>
      <c r="IH8" s="1862"/>
      <c r="II8" s="1862"/>
      <c r="IJ8" s="1853"/>
      <c r="IK8" s="1852" t="s">
        <v>606</v>
      </c>
      <c r="IL8" s="1862"/>
      <c r="IM8" s="1862"/>
      <c r="IN8" s="1862"/>
      <c r="IO8" s="1862"/>
      <c r="IP8" s="1862"/>
      <c r="IQ8" s="1862"/>
      <c r="IR8" s="1853"/>
      <c r="IS8" s="1852" t="s">
        <v>627</v>
      </c>
      <c r="IT8" s="1862"/>
      <c r="IU8" s="1862"/>
      <c r="IV8" s="1862"/>
      <c r="IW8" s="1862"/>
      <c r="IX8" s="1862"/>
      <c r="IY8" s="1862"/>
      <c r="IZ8" s="1853"/>
      <c r="JA8" s="1852" t="s">
        <v>265</v>
      </c>
      <c r="JB8" s="1862"/>
      <c r="JC8" s="1862"/>
      <c r="JD8" s="1862"/>
      <c r="JE8" s="1862"/>
      <c r="JF8" s="1862"/>
      <c r="JG8" s="1862"/>
      <c r="JH8" s="1853"/>
      <c r="JI8" s="1852" t="s">
        <v>633</v>
      </c>
      <c r="JJ8" s="1862"/>
      <c r="JK8" s="1862"/>
      <c r="JL8" s="1862"/>
      <c r="JM8" s="1862"/>
      <c r="JN8" s="1862"/>
      <c r="JO8" s="1862"/>
      <c r="JP8" s="1853"/>
    </row>
    <row r="9" spans="1:276" ht="21" customHeight="1" thickBot="1" x14ac:dyDescent="0.35">
      <c r="A9" s="1413"/>
      <c r="B9" s="1880"/>
      <c r="C9" s="1937"/>
      <c r="D9" s="1937"/>
      <c r="E9" s="1937"/>
      <c r="F9" s="1880"/>
      <c r="G9" s="1937"/>
      <c r="H9" s="1937"/>
      <c r="I9" s="1937"/>
      <c r="J9" s="1413"/>
      <c r="K9" s="1413"/>
      <c r="L9" s="1413"/>
      <c r="M9" s="1880"/>
      <c r="N9" s="1937"/>
      <c r="O9" s="1937"/>
      <c r="P9" s="1937"/>
      <c r="Q9" s="1880"/>
      <c r="R9" s="1937"/>
      <c r="S9" s="1937"/>
      <c r="T9" s="1937"/>
      <c r="U9" s="93" t="s">
        <v>156</v>
      </c>
      <c r="V9" s="1415" t="s">
        <v>804</v>
      </c>
      <c r="W9" s="1416" t="s">
        <v>41</v>
      </c>
      <c r="X9" s="1415" t="s">
        <v>40</v>
      </c>
      <c r="Y9" s="91" t="s">
        <v>157</v>
      </c>
      <c r="Z9" s="1416" t="s">
        <v>804</v>
      </c>
      <c r="AA9" s="1415" t="s">
        <v>41</v>
      </c>
      <c r="AB9" s="1420" t="s">
        <v>40</v>
      </c>
      <c r="AC9" s="93" t="s">
        <v>156</v>
      </c>
      <c r="AD9" s="1415" t="s">
        <v>804</v>
      </c>
      <c r="AE9" s="1416" t="s">
        <v>41</v>
      </c>
      <c r="AF9" s="1415" t="s">
        <v>40</v>
      </c>
      <c r="AG9" s="95" t="s">
        <v>157</v>
      </c>
      <c r="AH9" s="1414" t="s">
        <v>804</v>
      </c>
      <c r="AI9" s="1415" t="s">
        <v>41</v>
      </c>
      <c r="AJ9" s="1420" t="s">
        <v>40</v>
      </c>
      <c r="AK9" s="93" t="s">
        <v>156</v>
      </c>
      <c r="AL9" s="1415" t="s">
        <v>804</v>
      </c>
      <c r="AM9" s="1416" t="s">
        <v>41</v>
      </c>
      <c r="AN9" s="1415" t="s">
        <v>40</v>
      </c>
      <c r="AO9" s="95" t="s">
        <v>157</v>
      </c>
      <c r="AP9" s="1414" t="s">
        <v>804</v>
      </c>
      <c r="AQ9" s="1415" t="s">
        <v>41</v>
      </c>
      <c r="AR9" s="1420" t="s">
        <v>40</v>
      </c>
      <c r="AS9" s="93" t="s">
        <v>156</v>
      </c>
      <c r="AT9" s="1417" t="s">
        <v>804</v>
      </c>
      <c r="AU9" s="1415" t="s">
        <v>41</v>
      </c>
      <c r="AV9" s="1416" t="s">
        <v>40</v>
      </c>
      <c r="AW9" s="91" t="s">
        <v>157</v>
      </c>
      <c r="AX9" s="1417" t="s">
        <v>804</v>
      </c>
      <c r="AY9" s="1416" t="s">
        <v>41</v>
      </c>
      <c r="AZ9" s="1415" t="s">
        <v>40</v>
      </c>
      <c r="BA9" s="95" t="s">
        <v>156</v>
      </c>
      <c r="BB9" s="1417" t="s">
        <v>804</v>
      </c>
      <c r="BC9" s="1534" t="s">
        <v>41</v>
      </c>
      <c r="BD9" s="1417" t="s">
        <v>40</v>
      </c>
      <c r="BE9" s="1419" t="s">
        <v>157</v>
      </c>
      <c r="BF9" s="1417" t="s">
        <v>804</v>
      </c>
      <c r="BG9" s="1414" t="s">
        <v>41</v>
      </c>
      <c r="BH9" s="1414" t="s">
        <v>40</v>
      </c>
      <c r="BI9" s="93" t="s">
        <v>156</v>
      </c>
      <c r="BJ9" s="1418" t="s">
        <v>804</v>
      </c>
      <c r="BK9" s="1417" t="s">
        <v>41</v>
      </c>
      <c r="BL9" s="1534" t="s">
        <v>40</v>
      </c>
      <c r="BM9" s="92" t="s">
        <v>157</v>
      </c>
      <c r="BN9" s="1417" t="s">
        <v>804</v>
      </c>
      <c r="BO9" s="1414" t="s">
        <v>41</v>
      </c>
      <c r="BP9" s="1414" t="s">
        <v>40</v>
      </c>
      <c r="BQ9" s="91" t="s">
        <v>156</v>
      </c>
      <c r="BR9" s="1416" t="s">
        <v>804</v>
      </c>
      <c r="BS9" s="1415" t="s">
        <v>41</v>
      </c>
      <c r="BT9" s="1416" t="s">
        <v>40</v>
      </c>
      <c r="BU9" s="92" t="s">
        <v>157</v>
      </c>
      <c r="BV9" s="1417" t="s">
        <v>804</v>
      </c>
      <c r="BW9" s="1414" t="s">
        <v>41</v>
      </c>
      <c r="BX9" s="1414" t="s">
        <v>40</v>
      </c>
      <c r="BY9" s="93" t="s">
        <v>156</v>
      </c>
      <c r="BZ9" s="1417" t="s">
        <v>804</v>
      </c>
      <c r="CA9" s="1534" t="s">
        <v>41</v>
      </c>
      <c r="CB9" s="1417" t="s">
        <v>40</v>
      </c>
      <c r="CC9" s="1574" t="s">
        <v>157</v>
      </c>
      <c r="CD9" s="1417" t="s">
        <v>804</v>
      </c>
      <c r="CE9" s="1414" t="s">
        <v>41</v>
      </c>
      <c r="CF9" s="1414" t="s">
        <v>40</v>
      </c>
      <c r="CG9" s="93" t="s">
        <v>156</v>
      </c>
      <c r="CH9" s="1415" t="s">
        <v>804</v>
      </c>
      <c r="CI9" s="1416" t="s">
        <v>41</v>
      </c>
      <c r="CJ9" s="1415" t="s">
        <v>40</v>
      </c>
      <c r="CK9" s="1459" t="s">
        <v>157</v>
      </c>
      <c r="CL9" s="1415" t="s">
        <v>804</v>
      </c>
      <c r="CM9" s="1414" t="s">
        <v>41</v>
      </c>
      <c r="CN9" s="1414" t="s">
        <v>40</v>
      </c>
      <c r="CO9" s="93" t="s">
        <v>156</v>
      </c>
      <c r="CP9" s="1417" t="s">
        <v>804</v>
      </c>
      <c r="CQ9" s="1534" t="s">
        <v>41</v>
      </c>
      <c r="CR9" s="1417" t="s">
        <v>40</v>
      </c>
      <c r="CS9" s="1574" t="s">
        <v>157</v>
      </c>
      <c r="CT9" s="1417" t="s">
        <v>804</v>
      </c>
      <c r="CU9" s="1414" t="s">
        <v>41</v>
      </c>
      <c r="CV9" s="1414" t="s">
        <v>40</v>
      </c>
      <c r="CW9" s="93" t="s">
        <v>156</v>
      </c>
      <c r="CX9" s="1415" t="s">
        <v>804</v>
      </c>
      <c r="CY9" s="1415" t="s">
        <v>41</v>
      </c>
      <c r="CZ9" s="1416" t="s">
        <v>40</v>
      </c>
      <c r="DA9" s="91" t="s">
        <v>157</v>
      </c>
      <c r="DB9" s="1415" t="s">
        <v>804</v>
      </c>
      <c r="DC9" s="1414" t="s">
        <v>41</v>
      </c>
      <c r="DD9" s="1414" t="s">
        <v>40</v>
      </c>
      <c r="DE9" s="93" t="s">
        <v>156</v>
      </c>
      <c r="DF9" s="1415" t="s">
        <v>804</v>
      </c>
      <c r="DG9" s="1420" t="s">
        <v>41</v>
      </c>
      <c r="DH9" s="1416" t="s">
        <v>40</v>
      </c>
      <c r="DI9" s="91" t="s">
        <v>157</v>
      </c>
      <c r="DJ9" s="1415" t="s">
        <v>804</v>
      </c>
      <c r="DK9" s="1414" t="s">
        <v>41</v>
      </c>
      <c r="DL9" s="1414" t="s">
        <v>40</v>
      </c>
      <c r="DM9" s="93" t="s">
        <v>156</v>
      </c>
      <c r="DN9" s="1417" t="s">
        <v>804</v>
      </c>
      <c r="DO9" s="1416" t="s">
        <v>41</v>
      </c>
      <c r="DP9" s="1415" t="s">
        <v>40</v>
      </c>
      <c r="DQ9" s="1459" t="s">
        <v>157</v>
      </c>
      <c r="DR9" s="1417" t="s">
        <v>804</v>
      </c>
      <c r="DS9" s="1414" t="s">
        <v>41</v>
      </c>
      <c r="DT9" s="1414" t="s">
        <v>40</v>
      </c>
      <c r="DU9" s="93" t="s">
        <v>156</v>
      </c>
      <c r="DV9" s="1415" t="s">
        <v>804</v>
      </c>
      <c r="DW9" s="1415" t="s">
        <v>41</v>
      </c>
      <c r="DX9" s="1416" t="s">
        <v>40</v>
      </c>
      <c r="DY9" s="91" t="s">
        <v>157</v>
      </c>
      <c r="DZ9" s="1420" t="s">
        <v>804</v>
      </c>
      <c r="EA9" s="1414" t="s">
        <v>41</v>
      </c>
      <c r="EB9" s="1414" t="s">
        <v>40</v>
      </c>
      <c r="EC9" s="93" t="s">
        <v>156</v>
      </c>
      <c r="ED9" s="1415" t="s">
        <v>804</v>
      </c>
      <c r="EE9" s="1416" t="s">
        <v>41</v>
      </c>
      <c r="EF9" s="1415" t="s">
        <v>40</v>
      </c>
      <c r="EG9" s="1459" t="s">
        <v>157</v>
      </c>
      <c r="EH9" s="1420" t="s">
        <v>804</v>
      </c>
      <c r="EI9" s="1414" t="s">
        <v>41</v>
      </c>
      <c r="EJ9" s="1414" t="s">
        <v>40</v>
      </c>
      <c r="EK9" s="93" t="s">
        <v>156</v>
      </c>
      <c r="EL9" s="1415" t="s">
        <v>804</v>
      </c>
      <c r="EM9" s="1416" t="s">
        <v>41</v>
      </c>
      <c r="EN9" s="1415" t="s">
        <v>40</v>
      </c>
      <c r="EO9" s="1459" t="s">
        <v>157</v>
      </c>
      <c r="EP9" s="1415" t="s">
        <v>804</v>
      </c>
      <c r="EQ9" s="1414" t="s">
        <v>41</v>
      </c>
      <c r="ER9" s="1415" t="s">
        <v>40</v>
      </c>
      <c r="ES9" s="93" t="s">
        <v>156</v>
      </c>
      <c r="ET9" s="1415" t="s">
        <v>804</v>
      </c>
      <c r="EU9" s="1416" t="s">
        <v>41</v>
      </c>
      <c r="EV9" s="1415" t="s">
        <v>40</v>
      </c>
      <c r="EW9" s="1459" t="s">
        <v>157</v>
      </c>
      <c r="EX9" s="1415" t="s">
        <v>804</v>
      </c>
      <c r="EY9" s="1414" t="s">
        <v>41</v>
      </c>
      <c r="EZ9" s="1415" t="s">
        <v>40</v>
      </c>
      <c r="FA9" s="93" t="s">
        <v>156</v>
      </c>
      <c r="FB9" s="1415" t="s">
        <v>804</v>
      </c>
      <c r="FC9" s="1416" t="s">
        <v>41</v>
      </c>
      <c r="FD9" s="1415" t="s">
        <v>40</v>
      </c>
      <c r="FE9" s="1459" t="s">
        <v>157</v>
      </c>
      <c r="FF9" s="1415" t="s">
        <v>804</v>
      </c>
      <c r="FG9" s="1414" t="s">
        <v>41</v>
      </c>
      <c r="FH9" s="1415" t="s">
        <v>40</v>
      </c>
      <c r="FI9" s="95" t="s">
        <v>156</v>
      </c>
      <c r="FJ9" s="1415" t="s">
        <v>804</v>
      </c>
      <c r="FK9" s="1416" t="s">
        <v>41</v>
      </c>
      <c r="FL9" s="1415" t="s">
        <v>40</v>
      </c>
      <c r="FM9" s="1459" t="s">
        <v>157</v>
      </c>
      <c r="FN9" s="1414" t="s">
        <v>804</v>
      </c>
      <c r="FO9" s="1415" t="s">
        <v>41</v>
      </c>
      <c r="FP9" s="1420" t="s">
        <v>40</v>
      </c>
      <c r="FQ9" s="95" t="s">
        <v>156</v>
      </c>
      <c r="FR9" s="1415" t="s">
        <v>804</v>
      </c>
      <c r="FS9" s="1416" t="s">
        <v>41</v>
      </c>
      <c r="FT9" s="1415" t="s">
        <v>40</v>
      </c>
      <c r="FU9" s="1459" t="s">
        <v>157</v>
      </c>
      <c r="FV9" s="1414" t="s">
        <v>804</v>
      </c>
      <c r="FW9" s="1415" t="s">
        <v>41</v>
      </c>
      <c r="FX9" s="1420" t="s">
        <v>40</v>
      </c>
      <c r="FY9" s="93" t="s">
        <v>156</v>
      </c>
      <c r="FZ9" s="1415" t="s">
        <v>804</v>
      </c>
      <c r="GA9" s="1416" t="s">
        <v>41</v>
      </c>
      <c r="GB9" s="1415" t="s">
        <v>40</v>
      </c>
      <c r="GC9" s="1459" t="s">
        <v>157</v>
      </c>
      <c r="GD9" s="1414" t="s">
        <v>804</v>
      </c>
      <c r="GE9" s="1415" t="s">
        <v>41</v>
      </c>
      <c r="GF9" s="1416" t="s">
        <v>40</v>
      </c>
      <c r="GG9" s="93" t="s">
        <v>156</v>
      </c>
      <c r="GH9" s="1415" t="s">
        <v>804</v>
      </c>
      <c r="GI9" s="1416" t="s">
        <v>41</v>
      </c>
      <c r="GJ9" s="1415" t="s">
        <v>40</v>
      </c>
      <c r="GK9" s="1459" t="s">
        <v>157</v>
      </c>
      <c r="GL9" s="1415" t="s">
        <v>804</v>
      </c>
      <c r="GM9" s="1414" t="s">
        <v>41</v>
      </c>
      <c r="GN9" s="1414" t="s">
        <v>40</v>
      </c>
      <c r="GO9" s="93" t="s">
        <v>156</v>
      </c>
      <c r="GP9" s="1415" t="s">
        <v>804</v>
      </c>
      <c r="GQ9" s="1416" t="s">
        <v>41</v>
      </c>
      <c r="GR9" s="1415" t="s">
        <v>40</v>
      </c>
      <c r="GS9" s="95" t="s">
        <v>157</v>
      </c>
      <c r="GT9" s="1415" t="s">
        <v>804</v>
      </c>
      <c r="GU9" s="1416" t="s">
        <v>41</v>
      </c>
      <c r="GV9" s="1415" t="s">
        <v>40</v>
      </c>
      <c r="GW9" s="95" t="s">
        <v>156</v>
      </c>
      <c r="GX9" s="1415" t="s">
        <v>804</v>
      </c>
      <c r="GY9" s="1416" t="s">
        <v>41</v>
      </c>
      <c r="GZ9" s="1415" t="s">
        <v>40</v>
      </c>
      <c r="HA9" s="1459" t="s">
        <v>157</v>
      </c>
      <c r="HB9" s="1415" t="s">
        <v>804</v>
      </c>
      <c r="HC9" s="1414" t="s">
        <v>41</v>
      </c>
      <c r="HD9" s="1414" t="s">
        <v>40</v>
      </c>
      <c r="HE9" s="93" t="s">
        <v>156</v>
      </c>
      <c r="HF9" s="1415" t="s">
        <v>804</v>
      </c>
      <c r="HG9" s="1416" t="s">
        <v>41</v>
      </c>
      <c r="HH9" s="1415" t="s">
        <v>40</v>
      </c>
      <c r="HI9" s="95" t="s">
        <v>157</v>
      </c>
      <c r="HJ9" s="1415" t="s">
        <v>804</v>
      </c>
      <c r="HK9" s="1416" t="s">
        <v>41</v>
      </c>
      <c r="HL9" s="1415" t="s">
        <v>40</v>
      </c>
      <c r="HM9" s="95" t="s">
        <v>156</v>
      </c>
      <c r="HN9" s="1415" t="s">
        <v>804</v>
      </c>
      <c r="HO9" s="1416" t="s">
        <v>41</v>
      </c>
      <c r="HP9" s="1415" t="s">
        <v>40</v>
      </c>
      <c r="HQ9" s="1459" t="s">
        <v>157</v>
      </c>
      <c r="HR9" s="1415" t="s">
        <v>804</v>
      </c>
      <c r="HS9" s="1414" t="s">
        <v>41</v>
      </c>
      <c r="HT9" s="1414" t="s">
        <v>40</v>
      </c>
      <c r="HU9" s="93" t="s">
        <v>156</v>
      </c>
      <c r="HV9" s="1415" t="s">
        <v>804</v>
      </c>
      <c r="HW9" s="1416" t="s">
        <v>41</v>
      </c>
      <c r="HX9" s="1415" t="s">
        <v>40</v>
      </c>
      <c r="HY9" s="1459" t="s">
        <v>157</v>
      </c>
      <c r="HZ9" s="1415" t="s">
        <v>804</v>
      </c>
      <c r="IA9" s="1414" t="s">
        <v>41</v>
      </c>
      <c r="IB9" s="1417" t="s">
        <v>40</v>
      </c>
      <c r="IC9" s="95" t="s">
        <v>156</v>
      </c>
      <c r="ID9" s="1415" t="s">
        <v>804</v>
      </c>
      <c r="IE9" s="1416" t="s">
        <v>41</v>
      </c>
      <c r="IF9" s="1415" t="s">
        <v>40</v>
      </c>
      <c r="IG9" s="95" t="s">
        <v>157</v>
      </c>
      <c r="IH9" s="1417" t="s">
        <v>804</v>
      </c>
      <c r="II9" s="1418" t="s">
        <v>41</v>
      </c>
      <c r="IJ9" s="1417" t="s">
        <v>40</v>
      </c>
      <c r="IK9" s="95" t="s">
        <v>156</v>
      </c>
      <c r="IL9" s="1415" t="s">
        <v>804</v>
      </c>
      <c r="IM9" s="1416" t="s">
        <v>41</v>
      </c>
      <c r="IN9" s="1415" t="s">
        <v>40</v>
      </c>
      <c r="IO9" s="1459" t="s">
        <v>157</v>
      </c>
      <c r="IP9" s="1415" t="s">
        <v>804</v>
      </c>
      <c r="IQ9" s="1414" t="s">
        <v>41</v>
      </c>
      <c r="IR9" s="1417" t="s">
        <v>40</v>
      </c>
      <c r="IS9" s="95" t="s">
        <v>156</v>
      </c>
      <c r="IT9" s="1415" t="s">
        <v>804</v>
      </c>
      <c r="IU9" s="1416" t="s">
        <v>41</v>
      </c>
      <c r="IV9" s="1415" t="s">
        <v>40</v>
      </c>
      <c r="IW9" s="1459" t="s">
        <v>157</v>
      </c>
      <c r="IX9" s="1415" t="s">
        <v>804</v>
      </c>
      <c r="IY9" s="1414" t="s">
        <v>41</v>
      </c>
      <c r="IZ9" s="1414" t="s">
        <v>40</v>
      </c>
      <c r="JA9" s="93" t="s">
        <v>156</v>
      </c>
      <c r="JB9" s="1415" t="s">
        <v>804</v>
      </c>
      <c r="JC9" s="1416" t="s">
        <v>41</v>
      </c>
      <c r="JD9" s="1415" t="s">
        <v>40</v>
      </c>
      <c r="JE9" s="1459" t="s">
        <v>157</v>
      </c>
      <c r="JF9" s="1415" t="s">
        <v>804</v>
      </c>
      <c r="JG9" s="1414" t="s">
        <v>41</v>
      </c>
      <c r="JH9" s="1414" t="s">
        <v>40</v>
      </c>
      <c r="JI9" s="93" t="s">
        <v>156</v>
      </c>
      <c r="JJ9" s="1415" t="s">
        <v>804</v>
      </c>
      <c r="JK9" s="1416" t="s">
        <v>41</v>
      </c>
      <c r="JL9" s="1415" t="s">
        <v>40</v>
      </c>
      <c r="JM9" s="1459" t="s">
        <v>157</v>
      </c>
      <c r="JN9" s="1415" t="s">
        <v>804</v>
      </c>
      <c r="JO9" s="1414" t="s">
        <v>41</v>
      </c>
      <c r="JP9" s="1414" t="s">
        <v>40</v>
      </c>
    </row>
    <row r="10" spans="1:276" ht="25.5" customHeight="1" x14ac:dyDescent="0.3">
      <c r="A10" s="96" t="s">
        <v>79</v>
      </c>
      <c r="B10" s="277">
        <f>SUM(C10:E10)</f>
        <v>1361446.21</v>
      </c>
      <c r="C10" s="1422">
        <f t="shared" ref="C10:C27" si="0">N10-AD10</f>
        <v>0</v>
      </c>
      <c r="D10" s="1422">
        <f t="shared" ref="D10:D27" si="1">O10-AE10</f>
        <v>1361446.21</v>
      </c>
      <c r="E10" s="1422">
        <f>P10-AF10</f>
        <v>0</v>
      </c>
      <c r="F10" s="277">
        <f>SUM(G10:I10)</f>
        <v>233847.43</v>
      </c>
      <c r="G10" s="1422">
        <f>R10-AH10</f>
        <v>0</v>
      </c>
      <c r="H10" s="1422">
        <f>S10-AI10</f>
        <v>233847.43</v>
      </c>
      <c r="I10" s="1422">
        <f>T10-AJ10</f>
        <v>0</v>
      </c>
      <c r="J10" s="105"/>
      <c r="K10" s="1421">
        <f>M10-'Федеральные  средства  по  МО'!D11</f>
        <v>0</v>
      </c>
      <c r="L10" s="1421">
        <f>Q10-'Федеральные  средства  по  МО'!E11</f>
        <v>0</v>
      </c>
      <c r="M10" s="277">
        <f>AC10+AK10+AS10+BA10+BI10+BQ10+BY10+CG10+CO10+CW10+DE10+DM10+DU10+EC10+EK10+FA10+FI10+FQ10+FY10+GG10+GO10+GW10+HE10+HM10+HU10+IC10+IK10+IS10+JA10+JI10+ES10+U10</f>
        <v>1361446.21</v>
      </c>
      <c r="N10" s="1422">
        <f t="shared" ref="N10:T10" si="2">AD10+AL10+AT10+BB10+BJ10+BR10+BZ10+CH10+CP10+CX10+DF10+DN10+DV10+ED10+EL10+FB10+FJ10+FR10+FZ10+GH10+GP10+GX10+HF10+HN10+HV10+ID10+IL10+IT10+JB10+JJ10+ET10+V10</f>
        <v>0</v>
      </c>
      <c r="O10" s="1422">
        <f t="shared" si="2"/>
        <v>1361446.21</v>
      </c>
      <c r="P10" s="1422">
        <f t="shared" si="2"/>
        <v>0</v>
      </c>
      <c r="Q10" s="277">
        <f t="shared" si="2"/>
        <v>233847.43</v>
      </c>
      <c r="R10" s="1422">
        <f t="shared" si="2"/>
        <v>0</v>
      </c>
      <c r="S10" s="1422">
        <f t="shared" si="2"/>
        <v>233847.43</v>
      </c>
      <c r="T10" s="1422">
        <f t="shared" si="2"/>
        <v>0</v>
      </c>
      <c r="U10" s="98">
        <f>'Федеральные  средства  по  МО'!F11</f>
        <v>0</v>
      </c>
      <c r="V10" s="1612">
        <f>U10</f>
        <v>0</v>
      </c>
      <c r="W10" s="1613"/>
      <c r="X10" s="1612"/>
      <c r="Y10" s="97">
        <f>'Федеральные  средства  по  МО'!G11</f>
        <v>0</v>
      </c>
      <c r="Z10" s="1613">
        <f>Y10</f>
        <v>0</v>
      </c>
      <c r="AA10" s="1612"/>
      <c r="AB10" s="1614"/>
      <c r="AC10" s="1523">
        <f>'Федеральные  средства  по  МО'!H11</f>
        <v>0</v>
      </c>
      <c r="AD10" s="1525">
        <f>'План и исполнение'!CQ12</f>
        <v>0</v>
      </c>
      <c r="AE10" s="1531">
        <f>'План и исполнение'!CU12</f>
        <v>0</v>
      </c>
      <c r="AF10" s="1525">
        <f>'План и исполнение'!CW12</f>
        <v>0</v>
      </c>
      <c r="AG10" s="1573">
        <f>'Федеральные  средства  по  МО'!I11</f>
        <v>0</v>
      </c>
      <c r="AH10" s="1531">
        <f>'План и исполнение'!CR12</f>
        <v>0</v>
      </c>
      <c r="AI10" s="1525">
        <f>'План и исполнение'!CV12</f>
        <v>0</v>
      </c>
      <c r="AJ10" s="1531">
        <f>'План и исполнение'!CX12</f>
        <v>0</v>
      </c>
      <c r="AK10" s="1527">
        <f>'Федеральные  средства  по  МО'!J11</f>
        <v>0</v>
      </c>
      <c r="AL10" s="1526"/>
      <c r="AM10" s="1531"/>
      <c r="AN10" s="1524"/>
      <c r="AO10" s="1527">
        <f>'Федеральные  средства  по  МО'!K11</f>
        <v>0</v>
      </c>
      <c r="AP10" s="1531"/>
      <c r="AQ10" s="1525"/>
      <c r="AR10" s="1526"/>
      <c r="AS10" s="1523">
        <f>'Федеральные  средства  по  МО'!L11</f>
        <v>0</v>
      </c>
      <c r="AT10" s="1525">
        <f t="shared" ref="AT10:AT26" si="3">AS10</f>
        <v>0</v>
      </c>
      <c r="AU10" s="1525"/>
      <c r="AV10" s="1531"/>
      <c r="AW10" s="1527">
        <f>'Федеральные  средства  по  МО'!M11</f>
        <v>0</v>
      </c>
      <c r="AX10" s="1525">
        <f t="shared" ref="AX10:AX26" si="4">AW10</f>
        <v>0</v>
      </c>
      <c r="AY10" s="1531"/>
      <c r="AZ10" s="1525"/>
      <c r="BA10" s="1523">
        <f>'Федеральные  средства  по  МО'!N11</f>
        <v>0</v>
      </c>
      <c r="BB10" s="1525">
        <f t="shared" ref="BB10:BB26" si="5">BA10</f>
        <v>0</v>
      </c>
      <c r="BC10" s="1531"/>
      <c r="BD10" s="1525"/>
      <c r="BE10" s="1529">
        <f>'Федеральные  средства  по  МО'!O11</f>
        <v>0</v>
      </c>
      <c r="BF10" s="1525">
        <f t="shared" ref="BF10:BF26" si="6">BE10</f>
        <v>0</v>
      </c>
      <c r="BG10" s="1525"/>
      <c r="BH10" s="1526"/>
      <c r="BI10" s="158">
        <f>'Федеральные  средства  по  МО'!P11</f>
        <v>0</v>
      </c>
      <c r="BJ10" s="1525">
        <f t="shared" ref="BJ10:BJ26" si="7">BI10</f>
        <v>0</v>
      </c>
      <c r="BK10" s="1525"/>
      <c r="BL10" s="1526"/>
      <c r="BM10" s="1575">
        <f>'Федеральные  средства  по  МО'!Q11</f>
        <v>0</v>
      </c>
      <c r="BN10" s="1525">
        <f t="shared" ref="BN10:BN26" si="8">BM10</f>
        <v>0</v>
      </c>
      <c r="BO10" s="1525"/>
      <c r="BP10" s="1531"/>
      <c r="BQ10" s="1527">
        <f>'Федеральные  средства  по  МО'!R11</f>
        <v>0</v>
      </c>
      <c r="BR10" s="1525">
        <f t="shared" ref="BR10:BR26" si="9">BQ10</f>
        <v>0</v>
      </c>
      <c r="BS10" s="1525"/>
      <c r="BT10" s="1526"/>
      <c r="BU10" s="1546">
        <f>'Федеральные  средства  по  МО'!S11</f>
        <v>0</v>
      </c>
      <c r="BV10" s="1525">
        <f t="shared" ref="BV10:BV26" si="10">BU10</f>
        <v>0</v>
      </c>
      <c r="BW10" s="1525"/>
      <c r="BX10" s="1531"/>
      <c r="BY10" s="158">
        <f>'Федеральные  средства  по  МО'!T11</f>
        <v>0</v>
      </c>
      <c r="BZ10" s="1537">
        <f t="shared" ref="BZ10:BZ26" si="11">BY10</f>
        <v>0</v>
      </c>
      <c r="CA10" s="1538"/>
      <c r="CB10" s="1537"/>
      <c r="CC10" s="1539">
        <f>'Федеральные  средства  по  МО'!U11</f>
        <v>0</v>
      </c>
      <c r="CD10" s="1537">
        <f t="shared" ref="CD10:CD27" si="12">CC10</f>
        <v>0</v>
      </c>
      <c r="CE10" s="1525"/>
      <c r="CF10" s="1531"/>
      <c r="CG10" s="158">
        <f>'Федеральные  средства  по  МО'!V11</f>
        <v>0</v>
      </c>
      <c r="CH10" s="1525"/>
      <c r="CI10" s="1531"/>
      <c r="CJ10" s="1525"/>
      <c r="CK10" s="1573">
        <f>'Федеральные  средства  по  МО'!W11</f>
        <v>0</v>
      </c>
      <c r="CL10" s="1531"/>
      <c r="CM10" s="1525"/>
      <c r="CN10" s="1531"/>
      <c r="CO10" s="158">
        <f>'Федеральные  средства  по  МО'!X11</f>
        <v>0</v>
      </c>
      <c r="CP10" s="1537">
        <f t="shared" ref="CP10:CP27" si="13">CO10</f>
        <v>0</v>
      </c>
      <c r="CQ10" s="1538"/>
      <c r="CR10" s="1537"/>
      <c r="CS10" s="1539">
        <f>'Федеральные  средства  по  МО'!Y11</f>
        <v>0</v>
      </c>
      <c r="CT10" s="1537">
        <f>CS10</f>
        <v>0</v>
      </c>
      <c r="CU10" s="1525"/>
      <c r="CV10" s="1531"/>
      <c r="CW10" s="158">
        <f>'Федеральные  средства  по  МО'!Z11</f>
        <v>0</v>
      </c>
      <c r="CX10" s="1525"/>
      <c r="CY10" s="1525"/>
      <c r="CZ10" s="1531"/>
      <c r="DA10" s="1527">
        <f>'Федеральные  средства  по  МО'!AA11</f>
        <v>0</v>
      </c>
      <c r="DB10" s="1531"/>
      <c r="DC10" s="1525"/>
      <c r="DD10" s="1531"/>
      <c r="DE10" s="158">
        <f>'Федеральные  средства  по  МО'!AB11</f>
        <v>0</v>
      </c>
      <c r="DF10" s="1525"/>
      <c r="DG10" s="1531"/>
      <c r="DH10" s="1525"/>
      <c r="DI10" s="1573">
        <f>'Федеральные  средства  по  МО'!AC11</f>
        <v>0</v>
      </c>
      <c r="DJ10" s="1531"/>
      <c r="DK10" s="1525"/>
      <c r="DL10" s="1531"/>
      <c r="DM10" s="158">
        <f>'Федеральные  средства  по  МО'!AD11</f>
        <v>0</v>
      </c>
      <c r="DN10" s="1537">
        <f t="shared" ref="DN10:DN27" si="14">DM10</f>
        <v>0</v>
      </c>
      <c r="DO10" s="1531"/>
      <c r="DP10" s="1525"/>
      <c r="DQ10" s="1573">
        <f>'Федеральные  средства  по  МО'!AE11</f>
        <v>0</v>
      </c>
      <c r="DR10" s="1537">
        <f t="shared" ref="DR10:DR27" si="15">DQ10</f>
        <v>0</v>
      </c>
      <c r="DS10" s="1525"/>
      <c r="DT10" s="1531"/>
      <c r="DU10" s="158">
        <f>'Федеральные  средства  по  МО'!AF11</f>
        <v>0</v>
      </c>
      <c r="DV10" s="1525">
        <f>'План и исполнение'!GK12</f>
        <v>0</v>
      </c>
      <c r="DW10" s="1525">
        <f>'План и исполнение'!HE12</f>
        <v>0</v>
      </c>
      <c r="DX10" s="1531">
        <f>'План и исполнение'!HO12</f>
        <v>0</v>
      </c>
      <c r="DY10" s="1527">
        <f>'Федеральные  средства  по  МО'!AG11</f>
        <v>0</v>
      </c>
      <c r="DZ10" s="1531">
        <f>'План и исполнение'!GP12</f>
        <v>0</v>
      </c>
      <c r="EA10" s="1525">
        <f>'План и исполнение'!HJ12</f>
        <v>0</v>
      </c>
      <c r="EB10" s="1531">
        <f>'План и исполнение'!HT12</f>
        <v>0</v>
      </c>
      <c r="EC10" s="158">
        <f>'Федеральные  средства  по  МО'!AH11</f>
        <v>0</v>
      </c>
      <c r="ED10" s="1525"/>
      <c r="EE10" s="1531"/>
      <c r="EF10" s="1525"/>
      <c r="EG10" s="1573">
        <f>'Федеральные  средства  по  МО'!AI11</f>
        <v>0</v>
      </c>
      <c r="EH10" s="1531"/>
      <c r="EI10" s="1525"/>
      <c r="EJ10" s="1531"/>
      <c r="EK10" s="158">
        <f>'Федеральные  средства  по  МО'!AJ11</f>
        <v>0</v>
      </c>
      <c r="EL10" s="1525">
        <f>EK10</f>
        <v>0</v>
      </c>
      <c r="EM10" s="1531"/>
      <c r="EN10" s="1525"/>
      <c r="EO10" s="1573">
        <f>'Федеральные  средства  по  МО'!AK11</f>
        <v>0</v>
      </c>
      <c r="EP10" s="1525">
        <f>EO10</f>
        <v>0</v>
      </c>
      <c r="EQ10" s="1525"/>
      <c r="ER10" s="1531"/>
      <c r="ES10" s="98">
        <f>'Федеральные  средства  по  МО'!AL11</f>
        <v>0</v>
      </c>
      <c r="ET10" s="1612">
        <f>ES10</f>
        <v>0</v>
      </c>
      <c r="EU10" s="1613"/>
      <c r="EV10" s="1612"/>
      <c r="EW10" s="688">
        <f>'Федеральные  средства  по  МО'!AM11</f>
        <v>0</v>
      </c>
      <c r="EX10" s="1526">
        <f>EW10</f>
        <v>0</v>
      </c>
      <c r="EY10" s="1525"/>
      <c r="EZ10" s="1531"/>
      <c r="FA10" s="158">
        <f>'Федеральные  средства  по  МО'!AN11</f>
        <v>0</v>
      </c>
      <c r="FB10" s="1525"/>
      <c r="FC10" s="1531"/>
      <c r="FD10" s="1525"/>
      <c r="FE10" s="1573">
        <f>'Федеральные  средства  по  МО'!AO11</f>
        <v>0</v>
      </c>
      <c r="FF10" s="1531"/>
      <c r="FG10" s="1525"/>
      <c r="FH10" s="1531"/>
      <c r="FI10" s="158">
        <f>'Федеральные  средства  по  МО'!AP11</f>
        <v>72201.509999999995</v>
      </c>
      <c r="FJ10" s="1525">
        <f>'План и исполнение'!IO12</f>
        <v>0</v>
      </c>
      <c r="FK10" s="1531">
        <f>'План и исполнение'!JA12</f>
        <v>72201.509999999995</v>
      </c>
      <c r="FL10" s="1525">
        <f>'План и исполнение'!JG12</f>
        <v>0</v>
      </c>
      <c r="FM10" s="1573">
        <f>'Федеральные  средства  по  МО'!AQ11</f>
        <v>0</v>
      </c>
      <c r="FN10" s="1531">
        <f>'План и исполнение'!IR12</f>
        <v>0</v>
      </c>
      <c r="FO10" s="1525">
        <f>'План и исполнение'!JD12</f>
        <v>0</v>
      </c>
      <c r="FP10" s="1531">
        <f>'План и исполнение'!JJ12</f>
        <v>0</v>
      </c>
      <c r="FQ10" s="158">
        <f>'Федеральные  средства  по  МО'!AR11</f>
        <v>0</v>
      </c>
      <c r="FR10" s="1525">
        <f>FQ10</f>
        <v>0</v>
      </c>
      <c r="FS10" s="1531"/>
      <c r="FT10" s="1525"/>
      <c r="FU10" s="1573">
        <f>'Федеральные  средства  по  МО'!AS11</f>
        <v>0</v>
      </c>
      <c r="FV10" s="1525">
        <f>FU10</f>
        <v>0</v>
      </c>
      <c r="FW10" s="1525"/>
      <c r="FX10" s="1531"/>
      <c r="FY10" s="158">
        <f>'Федеральные  средства  по  МО'!AT11</f>
        <v>0</v>
      </c>
      <c r="FZ10" s="1525">
        <f>'План и исполнение'!JU12</f>
        <v>0</v>
      </c>
      <c r="GA10" s="1531">
        <f>'План и исполнение'!KO12</f>
        <v>0</v>
      </c>
      <c r="GB10" s="1525">
        <f>'План и исполнение'!KY12</f>
        <v>0</v>
      </c>
      <c r="GC10" s="1573">
        <f>'Федеральные  средства  по  МО'!AU11</f>
        <v>0</v>
      </c>
      <c r="GD10" s="1531">
        <f>'План и исполнение'!JZ12</f>
        <v>0</v>
      </c>
      <c r="GE10" s="1525">
        <f>'План и исполнение'!KT12</f>
        <v>0</v>
      </c>
      <c r="GF10" s="1531">
        <f>'План и исполнение'!LD12</f>
        <v>0</v>
      </c>
      <c r="GG10" s="158">
        <f>'Федеральные  средства  по  МО'!AV11</f>
        <v>0</v>
      </c>
      <c r="GH10" s="1525"/>
      <c r="GI10" s="1531">
        <f>'План и исполнение'!KM12</f>
        <v>0</v>
      </c>
      <c r="GJ10" s="1525">
        <f>'План и исполнение'!KW12</f>
        <v>0</v>
      </c>
      <c r="GK10" s="1573">
        <f>'Федеральные  средства  по  МО'!AW11</f>
        <v>0</v>
      </c>
      <c r="GL10" s="1531"/>
      <c r="GM10" s="1525">
        <f>'План и исполнение'!KR12</f>
        <v>0</v>
      </c>
      <c r="GN10" s="1531">
        <f>'План и исполнение'!LB12</f>
        <v>0</v>
      </c>
      <c r="GO10" s="158">
        <f>'Федеральные  средства  по  МО'!AX11</f>
        <v>0</v>
      </c>
      <c r="GP10" s="1525">
        <f>GO10</f>
        <v>0</v>
      </c>
      <c r="GQ10" s="1531"/>
      <c r="GR10" s="1525"/>
      <c r="GS10" s="1523">
        <f>'Федеральные  средства  по  МО'!AY11</f>
        <v>0</v>
      </c>
      <c r="GT10" s="1525">
        <f t="shared" ref="GT10:GT27" si="16">GS10</f>
        <v>0</v>
      </c>
      <c r="GU10" s="1531"/>
      <c r="GV10" s="1525"/>
      <c r="GW10" s="1523">
        <f>'Федеральные  средства  по  МО'!AZ11</f>
        <v>0</v>
      </c>
      <c r="GX10" s="1525"/>
      <c r="GY10" s="1531"/>
      <c r="GZ10" s="1525"/>
      <c r="HA10" s="1573">
        <f>'Федеральные  средства  по  МО'!BA11</f>
        <v>0</v>
      </c>
      <c r="HB10" s="1531"/>
      <c r="HC10" s="1525"/>
      <c r="HD10" s="1531"/>
      <c r="HE10" s="158">
        <f>'Федеральные  средства  по  МО'!BB11</f>
        <v>0</v>
      </c>
      <c r="HF10" s="1525"/>
      <c r="HG10" s="1531"/>
      <c r="HH10" s="1525"/>
      <c r="HI10" s="1523">
        <f>'Федеральные  средства  по  МО'!BC11</f>
        <v>0</v>
      </c>
      <c r="HJ10" s="1525"/>
      <c r="HK10" s="1531"/>
      <c r="HL10" s="1525"/>
      <c r="HM10" s="1523">
        <f>'Федеральные  средства  по  МО'!BD11</f>
        <v>0</v>
      </c>
      <c r="HN10" s="1525"/>
      <c r="HO10" s="1531"/>
      <c r="HP10" s="1525"/>
      <c r="HQ10" s="1573">
        <f>'Федеральные  средства  по  МО'!BE11</f>
        <v>0</v>
      </c>
      <c r="HR10" s="1531"/>
      <c r="HS10" s="1525"/>
      <c r="HT10" s="1531"/>
      <c r="HU10" s="158">
        <f>'Федеральные  средства  по  МО'!BF11</f>
        <v>0</v>
      </c>
      <c r="HV10" s="1525"/>
      <c r="HW10" s="1531"/>
      <c r="HX10" s="1525">
        <f>'План и исполнение'!NM12</f>
        <v>0</v>
      </c>
      <c r="HY10" s="1573">
        <f>'Федеральные  средства  по  МО'!BG11</f>
        <v>0</v>
      </c>
      <c r="HZ10" s="1531"/>
      <c r="IA10" s="1525"/>
      <c r="IB10" s="1531">
        <f>'План и исполнение'!NQ12</f>
        <v>0</v>
      </c>
      <c r="IC10" s="158">
        <f>'Федеральные  средства  по  МО'!BJ11</f>
        <v>1289244.7</v>
      </c>
      <c r="ID10" s="1525"/>
      <c r="IE10" s="1531">
        <f>'План и исполнение'!OQ12</f>
        <v>1289244.7</v>
      </c>
      <c r="IF10" s="1525">
        <f>'План и исполнение'!PE12</f>
        <v>0</v>
      </c>
      <c r="IG10" s="1573">
        <f>'Федеральные  средства  по  МО'!BK11</f>
        <v>233847.43</v>
      </c>
      <c r="IH10" s="1531"/>
      <c r="II10" s="1525">
        <f>'План и исполнение'!OX12</f>
        <v>233847.43</v>
      </c>
      <c r="IJ10" s="1531">
        <f>'План и исполнение'!PL12</f>
        <v>0</v>
      </c>
      <c r="IK10" s="158">
        <f>'Федеральные  средства  по  МО'!BN11</f>
        <v>0</v>
      </c>
      <c r="IL10" s="1525"/>
      <c r="IM10" s="1531"/>
      <c r="IN10" s="1525"/>
      <c r="IO10" s="1573">
        <f>'Федеральные  средства  по  МО'!BO11</f>
        <v>0</v>
      </c>
      <c r="IP10" s="1531"/>
      <c r="IQ10" s="1525"/>
      <c r="IR10" s="1531"/>
      <c r="IS10" s="158">
        <f>'Федеральные  средства  по  МО'!BH11</f>
        <v>0</v>
      </c>
      <c r="IT10" s="1525"/>
      <c r="IU10" s="1531">
        <f>'План и исполнение'!OO12</f>
        <v>0</v>
      </c>
      <c r="IV10" s="1525">
        <f>'План и исполнение'!PC12</f>
        <v>0</v>
      </c>
      <c r="IW10" s="1573">
        <f>'Федеральные  средства  по  МО'!BI11</f>
        <v>0</v>
      </c>
      <c r="IX10" s="1531"/>
      <c r="IY10" s="1525">
        <f>'План и исполнение'!OV12</f>
        <v>0</v>
      </c>
      <c r="IZ10" s="1531">
        <f>'План и исполнение'!PJ12</f>
        <v>0</v>
      </c>
      <c r="JA10" s="158">
        <f>'Федеральные  средства  по  МО'!BP11</f>
        <v>0</v>
      </c>
      <c r="JB10" s="1525">
        <f>'План и исполнение'!PW12</f>
        <v>0</v>
      </c>
      <c r="JC10" s="1531">
        <f>'План и исполнение'!QI12</f>
        <v>0</v>
      </c>
      <c r="JD10" s="1525">
        <f>'План и исполнение'!QO12</f>
        <v>0</v>
      </c>
      <c r="JE10" s="1573">
        <f>'Федеральные  средства  по  МО'!BQ11</f>
        <v>0</v>
      </c>
      <c r="JF10" s="1531">
        <f>'План и исполнение'!PZ12</f>
        <v>0</v>
      </c>
      <c r="JG10" s="1525">
        <f>'План и исполнение'!QL12</f>
        <v>0</v>
      </c>
      <c r="JH10" s="1531">
        <f>'План и исполнение'!QR12</f>
        <v>0</v>
      </c>
      <c r="JI10" s="158">
        <f>'Федеральные  средства  по  МО'!BL11</f>
        <v>0</v>
      </c>
      <c r="JJ10" s="1525">
        <f>'План и исполнение'!NU12</f>
        <v>0</v>
      </c>
      <c r="JK10" s="1531">
        <f>'План и исполнение'!OS12</f>
        <v>0</v>
      </c>
      <c r="JL10" s="1525">
        <f>'План и исполнение'!PG12</f>
        <v>0</v>
      </c>
      <c r="JM10" s="1573">
        <f>'Федеральные  средства  по  МО'!BM11</f>
        <v>0</v>
      </c>
      <c r="JN10" s="1531">
        <f>'План и исполнение'!NX12</f>
        <v>0</v>
      </c>
      <c r="JO10" s="1525">
        <f>'План и исполнение'!OZ12</f>
        <v>0</v>
      </c>
      <c r="JP10" s="1526">
        <f>'План и исполнение'!PN12</f>
        <v>0</v>
      </c>
    </row>
    <row r="11" spans="1:276" ht="25.5" customHeight="1" x14ac:dyDescent="0.3">
      <c r="A11" s="102" t="s">
        <v>80</v>
      </c>
      <c r="B11" s="277">
        <f t="shared" ref="B11:B27" si="17">SUM(C11:E11)</f>
        <v>24238942.59</v>
      </c>
      <c r="C11" s="1422">
        <f t="shared" si="0"/>
        <v>5887100</v>
      </c>
      <c r="D11" s="1422">
        <f t="shared" si="1"/>
        <v>1287802.6200000001</v>
      </c>
      <c r="E11" s="1422">
        <f t="shared" ref="E11:E27" si="18">P11-AF11</f>
        <v>17064039.969999999</v>
      </c>
      <c r="F11" s="277">
        <f t="shared" ref="F11:F27" si="19">SUM(G11:I11)</f>
        <v>17410389.57</v>
      </c>
      <c r="G11" s="1422">
        <f t="shared" ref="G11:G27" si="20">R11-AH11</f>
        <v>0</v>
      </c>
      <c r="H11" s="1422">
        <f t="shared" ref="H11:H27" si="21">S11-AI11</f>
        <v>511965.68000000005</v>
      </c>
      <c r="I11" s="1422">
        <f t="shared" ref="I11:I27" si="22">T11-AJ11</f>
        <v>16898423.890000001</v>
      </c>
      <c r="J11" s="105"/>
      <c r="K11" s="1421">
        <f>M11-'Федеральные  средства  по  МО'!D12</f>
        <v>0</v>
      </c>
      <c r="L11" s="1421">
        <f>Q11-'Федеральные  средства  по  МО'!E12</f>
        <v>0</v>
      </c>
      <c r="M11" s="277">
        <f t="shared" ref="M11:M27" si="23">AC11+AK11+AS11+BA11+BI11+BQ11+BY11+CG11+CO11+CW11+DE11+DM11+DU11+EC11+EK11+FA11+FI11+FQ11+FY11+GG11+GO11+GW11+HE11+HM11+HU11+IC11+IK11+IS11+JA11+JI11+ES11+U11</f>
        <v>39304719.900000006</v>
      </c>
      <c r="N11" s="1422">
        <f t="shared" ref="N11:N27" si="24">AD11+AL11+AT11+BB11+BJ11+BR11+BZ11+CH11+CP11+CX11+DF11+DN11+DV11+ED11+EL11+FB11+FJ11+FR11+FZ11+GH11+GP11+GX11+HF11+HN11+HV11+ID11+IL11+IT11+JB11+JJ11+ET11+V11</f>
        <v>5887100</v>
      </c>
      <c r="O11" s="1422">
        <f t="shared" ref="O11:O27" si="25">AE11+AM11+AU11+BC11+BK11+BS11+CA11+CI11+CQ11+CY11+DG11+DO11+DW11+EE11+EM11+FC11+FK11+FS11+GA11+GI11+GQ11+GY11+HG11+HO11+HW11+IE11+IM11+IU11+JC11+JK11+EU11+W11</f>
        <v>1287802.6200000001</v>
      </c>
      <c r="P11" s="1422">
        <f t="shared" ref="P11:P27" si="26">AF11+AN11+AV11+BD11+BL11+BT11+CB11+CJ11+CR11+CZ11+DH11+DP11+DX11+EF11+EN11+FD11+FL11+FT11+GB11+GJ11+GR11+GZ11+HH11+HP11+HX11+IF11+IN11+IV11+JD11+JL11+EV11+X11</f>
        <v>32129817.280000001</v>
      </c>
      <c r="Q11" s="277">
        <f t="shared" ref="Q11:Q27" si="27">AG11+AO11+AW11+BE11+BM11+BU11+CC11+CK11+CS11+DA11+DI11+DQ11+DY11+EG11+EO11+FE11+FM11+FU11+GC11+GK11+GS11+HA11+HI11+HQ11+HY11+IG11+IO11+IW11+JE11+JM11+EW11+Y11</f>
        <v>21213801.620000001</v>
      </c>
      <c r="R11" s="1422">
        <f t="shared" ref="R11:R27" si="28">AH11+AP11+AX11+BF11+BN11+BV11+CD11+CL11+CT11+DB11+DJ11+DR11+DZ11+EH11+EP11+FF11+FN11+FV11+GD11+GL11+GT11+HB11+HJ11+HR11+HZ11+IH11+IP11+IX11+JF11+JN11+EX11+Z11</f>
        <v>0</v>
      </c>
      <c r="S11" s="1422">
        <f t="shared" ref="S11:S27" si="29">AI11+AQ11+AY11+BG11+BO11+BW11+CE11+CM11+CU11+DC11+DK11+DS11+EA11+EI11+EQ11+FG11+FO11+FW11+GE11+GM11+GU11+HC11+HK11+HS11+IA11+II11+IQ11+IY11+JG11+JO11+EY11+AA11</f>
        <v>511965.68000000005</v>
      </c>
      <c r="T11" s="1422">
        <f t="shared" ref="T11:T27" si="30">AJ11+AR11+AZ11+BH11+BP11+BX11+CF11+CN11+CV11+DD11+DL11+DT11+EB11+EJ11+ER11+FH11+FP11+FX11+GF11+GN11+GV11+HD11+HL11+HT11+IB11+IJ11+IR11+IZ11+JH11+JP11+EZ11+AB11</f>
        <v>20701835.940000001</v>
      </c>
      <c r="U11" s="103">
        <f>'Федеральные  средства  по  МО'!F12</f>
        <v>0</v>
      </c>
      <c r="V11" s="1424">
        <f t="shared" ref="V11:V27" si="31">U11</f>
        <v>0</v>
      </c>
      <c r="W11" s="1426"/>
      <c r="X11" s="1424"/>
      <c r="Y11" s="101">
        <f>'Федеральные  средства  по  МО'!G12</f>
        <v>0</v>
      </c>
      <c r="Z11" s="1426">
        <f t="shared" ref="Z11:Z27" si="32">Y11</f>
        <v>0</v>
      </c>
      <c r="AA11" s="1424"/>
      <c r="AB11" s="1425"/>
      <c r="AC11" s="104">
        <f>'Федеральные  средства  по  МО'!H12</f>
        <v>15065777.310000001</v>
      </c>
      <c r="AD11" s="1424">
        <f>'План и исполнение'!CQ13</f>
        <v>0</v>
      </c>
      <c r="AE11" s="1426">
        <f>'План и исполнение'!CU13</f>
        <v>0</v>
      </c>
      <c r="AF11" s="1424">
        <f>'План и исполнение'!CW13</f>
        <v>15065777.310000001</v>
      </c>
      <c r="AG11" s="100">
        <f>'Федеральные  средства  по  МО'!I12</f>
        <v>3803412.05</v>
      </c>
      <c r="AH11" s="1426">
        <f>'План и исполнение'!CR13</f>
        <v>0</v>
      </c>
      <c r="AI11" s="1424">
        <f>'План и исполнение'!CV13</f>
        <v>0</v>
      </c>
      <c r="AJ11" s="1426">
        <f>'План и исполнение'!CX13</f>
        <v>3803412.05</v>
      </c>
      <c r="AK11" s="101">
        <f>'Федеральные  средства  по  МО'!J12</f>
        <v>0</v>
      </c>
      <c r="AL11" s="1425"/>
      <c r="AM11" s="1426"/>
      <c r="AN11" s="1423"/>
      <c r="AO11" s="101">
        <f>'Федеральные  средства  по  МО'!K12</f>
        <v>0</v>
      </c>
      <c r="AP11" s="1426"/>
      <c r="AQ11" s="1424"/>
      <c r="AR11" s="1426"/>
      <c r="AS11" s="103">
        <f>'Федеральные  средства  по  МО'!L12</f>
        <v>0</v>
      </c>
      <c r="AT11" s="1424">
        <f t="shared" si="3"/>
        <v>0</v>
      </c>
      <c r="AU11" s="1424"/>
      <c r="AV11" s="1426"/>
      <c r="AW11" s="101">
        <f>'Федеральные  средства  по  МО'!M12</f>
        <v>0</v>
      </c>
      <c r="AX11" s="1424">
        <f t="shared" si="4"/>
        <v>0</v>
      </c>
      <c r="AY11" s="1426"/>
      <c r="AZ11" s="1424"/>
      <c r="BA11" s="104">
        <f>'Федеральные  средства  по  МО'!N12</f>
        <v>0</v>
      </c>
      <c r="BB11" s="1424">
        <f t="shared" si="5"/>
        <v>0</v>
      </c>
      <c r="BC11" s="1426"/>
      <c r="BD11" s="1424"/>
      <c r="BE11" s="100">
        <f>'Федеральные  средства  по  МО'!O12</f>
        <v>0</v>
      </c>
      <c r="BF11" s="1424">
        <f t="shared" si="6"/>
        <v>0</v>
      </c>
      <c r="BG11" s="1424"/>
      <c r="BH11" s="1426"/>
      <c r="BI11" s="1528">
        <f>'Федеральные  средства  по  МО'!P12</f>
        <v>0</v>
      </c>
      <c r="BJ11" s="1424">
        <f t="shared" si="7"/>
        <v>0</v>
      </c>
      <c r="BK11" s="1424"/>
      <c r="BL11" s="1425"/>
      <c r="BM11" s="100">
        <f>'Федеральные  средства  по  МО'!Q12</f>
        <v>0</v>
      </c>
      <c r="BN11" s="1424">
        <f t="shared" si="8"/>
        <v>0</v>
      </c>
      <c r="BO11" s="1424"/>
      <c r="BP11" s="1426"/>
      <c r="BQ11" s="101">
        <f>'Федеральные  средства  по  МО'!R12</f>
        <v>0</v>
      </c>
      <c r="BR11" s="1424">
        <f t="shared" si="9"/>
        <v>0</v>
      </c>
      <c r="BS11" s="1424"/>
      <c r="BT11" s="1425"/>
      <c r="BU11" s="104">
        <f>'Федеральные  средства  по  МО'!S12</f>
        <v>0</v>
      </c>
      <c r="BV11" s="1424">
        <f t="shared" si="10"/>
        <v>0</v>
      </c>
      <c r="BW11" s="1424"/>
      <c r="BX11" s="1426"/>
      <c r="BY11" s="103">
        <f>'Федеральные  средства  по  МО'!T12</f>
        <v>0</v>
      </c>
      <c r="BZ11" s="1424">
        <f t="shared" si="11"/>
        <v>0</v>
      </c>
      <c r="CA11" s="1426"/>
      <c r="CB11" s="1424"/>
      <c r="CC11" s="100">
        <f>'Федеральные  средства  по  МО'!U12</f>
        <v>0</v>
      </c>
      <c r="CD11" s="1424">
        <f t="shared" si="12"/>
        <v>0</v>
      </c>
      <c r="CE11" s="1424"/>
      <c r="CF11" s="1426"/>
      <c r="CG11" s="103">
        <f>'Федеральные  средства  по  МО'!V12</f>
        <v>0</v>
      </c>
      <c r="CH11" s="1424"/>
      <c r="CI11" s="1426"/>
      <c r="CJ11" s="1424"/>
      <c r="CK11" s="100">
        <f>'Федеральные  средства  по  МО'!W12</f>
        <v>0</v>
      </c>
      <c r="CL11" s="1426"/>
      <c r="CM11" s="1424"/>
      <c r="CN11" s="1426"/>
      <c r="CO11" s="103">
        <f>'Федеральные  средства  по  МО'!X12</f>
        <v>0</v>
      </c>
      <c r="CP11" s="1424">
        <f t="shared" si="13"/>
        <v>0</v>
      </c>
      <c r="CQ11" s="1426"/>
      <c r="CR11" s="1424"/>
      <c r="CS11" s="100">
        <f>'Федеральные  средства  по  МО'!Y12</f>
        <v>0</v>
      </c>
      <c r="CT11" s="1424">
        <f t="shared" ref="CT11:CT27" si="33">CS11</f>
        <v>0</v>
      </c>
      <c r="CU11" s="1424"/>
      <c r="CV11" s="1426"/>
      <c r="CW11" s="103">
        <f>'Федеральные  средства  по  МО'!Z12</f>
        <v>0</v>
      </c>
      <c r="CX11" s="1424"/>
      <c r="CY11" s="1424"/>
      <c r="CZ11" s="1426"/>
      <c r="DA11" s="101">
        <f>'Федеральные  средства  по  МО'!AA12</f>
        <v>0</v>
      </c>
      <c r="DB11" s="1426"/>
      <c r="DC11" s="1424"/>
      <c r="DD11" s="1426"/>
      <c r="DE11" s="103">
        <f>'Федеральные  средства  по  МО'!AB12</f>
        <v>0</v>
      </c>
      <c r="DF11" s="1424"/>
      <c r="DG11" s="1426"/>
      <c r="DH11" s="1424"/>
      <c r="DI11" s="100">
        <f>'Федеральные  средства  по  МО'!AC12</f>
        <v>0</v>
      </c>
      <c r="DJ11" s="1426"/>
      <c r="DK11" s="1424"/>
      <c r="DL11" s="1426"/>
      <c r="DM11" s="103">
        <f>'Федеральные  средства  по  МО'!AD12</f>
        <v>0</v>
      </c>
      <c r="DN11" s="1424">
        <f t="shared" si="14"/>
        <v>0</v>
      </c>
      <c r="DO11" s="1426"/>
      <c r="DP11" s="1424"/>
      <c r="DQ11" s="100">
        <f>'Федеральные  средства  по  МО'!AE12</f>
        <v>0</v>
      </c>
      <c r="DR11" s="1424">
        <f t="shared" si="15"/>
        <v>0</v>
      </c>
      <c r="DS11" s="1424"/>
      <c r="DT11" s="1426"/>
      <c r="DU11" s="103">
        <f>'Федеральные  средства  по  МО'!AF12</f>
        <v>165616.07999999999</v>
      </c>
      <c r="DV11" s="1424">
        <f>'План и исполнение'!GK13</f>
        <v>0</v>
      </c>
      <c r="DW11" s="1424">
        <f>'План и исполнение'!HE13</f>
        <v>0</v>
      </c>
      <c r="DX11" s="1426">
        <f>'План и исполнение'!HO13</f>
        <v>165616.07999999999</v>
      </c>
      <c r="DY11" s="101">
        <f>'Федеральные  средства  по  МО'!AG12</f>
        <v>0</v>
      </c>
      <c r="DZ11" s="1426">
        <f>'План и исполнение'!GP13</f>
        <v>0</v>
      </c>
      <c r="EA11" s="1424">
        <f>'План и исполнение'!HJ13</f>
        <v>0</v>
      </c>
      <c r="EB11" s="1426">
        <f>'План и исполнение'!HT13</f>
        <v>0</v>
      </c>
      <c r="EC11" s="103">
        <f>'Федеральные  средства  по  МО'!AH12</f>
        <v>0</v>
      </c>
      <c r="ED11" s="1424"/>
      <c r="EE11" s="1426"/>
      <c r="EF11" s="1424"/>
      <c r="EG11" s="100">
        <f>'Федеральные  средства  по  МО'!AI12</f>
        <v>0</v>
      </c>
      <c r="EH11" s="1426"/>
      <c r="EI11" s="1424"/>
      <c r="EJ11" s="1426"/>
      <c r="EK11" s="103">
        <f>'Федеральные  средства  по  МО'!AJ12</f>
        <v>0</v>
      </c>
      <c r="EL11" s="1424">
        <f t="shared" ref="EL11:EL27" si="34">EK11</f>
        <v>0</v>
      </c>
      <c r="EM11" s="1426"/>
      <c r="EN11" s="1424"/>
      <c r="EO11" s="100">
        <f>'Федеральные  средства  по  МО'!AK12</f>
        <v>0</v>
      </c>
      <c r="EP11" s="1424">
        <f t="shared" ref="EP11:EP27" si="35">EO11</f>
        <v>0</v>
      </c>
      <c r="EQ11" s="1424"/>
      <c r="ER11" s="1426"/>
      <c r="ES11" s="103">
        <f>'Федеральные  средства  по  МО'!AL12</f>
        <v>0</v>
      </c>
      <c r="ET11" s="1424">
        <f t="shared" ref="ET11:ET27" si="36">ES11</f>
        <v>0</v>
      </c>
      <c r="EU11" s="1426"/>
      <c r="EV11" s="1424"/>
      <c r="EW11" s="100">
        <f>'Федеральные  средства  по  МО'!AM12</f>
        <v>0</v>
      </c>
      <c r="EX11" s="1425">
        <f t="shared" ref="EX11:EX27" si="37">EW11</f>
        <v>0</v>
      </c>
      <c r="EY11" s="1424"/>
      <c r="EZ11" s="1426"/>
      <c r="FA11" s="103">
        <f>'Федеральные  средства  по  МО'!AN12</f>
        <v>0</v>
      </c>
      <c r="FB11" s="1424"/>
      <c r="FC11" s="1426"/>
      <c r="FD11" s="1424"/>
      <c r="FE11" s="100">
        <f>'Федеральные  средства  по  МО'!AO12</f>
        <v>0</v>
      </c>
      <c r="FF11" s="1426"/>
      <c r="FG11" s="1424"/>
      <c r="FH11" s="1426"/>
      <c r="FI11" s="103">
        <f>'Федеральные  средства  по  МО'!AP12</f>
        <v>880389.57000000007</v>
      </c>
      <c r="FJ11" s="1424">
        <f>'План и исполнение'!IO13</f>
        <v>0</v>
      </c>
      <c r="FK11" s="1426">
        <f>'План и исполнение'!JA13</f>
        <v>511965.68000000005</v>
      </c>
      <c r="FL11" s="1424">
        <f>'План и исполнение'!JG13</f>
        <v>368423.89</v>
      </c>
      <c r="FM11" s="100">
        <f>'Федеральные  средства  по  МО'!AQ12</f>
        <v>880389.57000000007</v>
      </c>
      <c r="FN11" s="1426">
        <f>'План и исполнение'!IR13</f>
        <v>0</v>
      </c>
      <c r="FO11" s="1424">
        <f>'План и исполнение'!JD13</f>
        <v>511965.68000000005</v>
      </c>
      <c r="FP11" s="1426">
        <f>'План и исполнение'!JJ13</f>
        <v>368423.89</v>
      </c>
      <c r="FQ11" s="103">
        <f>'Федеральные  средства  по  МО'!AR12</f>
        <v>0</v>
      </c>
      <c r="FR11" s="1424">
        <f t="shared" ref="FR11:FR27" si="38">FQ11</f>
        <v>0</v>
      </c>
      <c r="FS11" s="1426"/>
      <c r="FT11" s="1424"/>
      <c r="FU11" s="100">
        <f>'Федеральные  средства  по  МО'!AS12</f>
        <v>0</v>
      </c>
      <c r="FV11" s="1424">
        <f t="shared" ref="FV11:FV27" si="39">FU11</f>
        <v>0</v>
      </c>
      <c r="FW11" s="1424"/>
      <c r="FX11" s="1426"/>
      <c r="FY11" s="103">
        <f>'Федеральные  средства  по  МО'!AT12</f>
        <v>0</v>
      </c>
      <c r="FZ11" s="1424">
        <f>'План и исполнение'!JU13</f>
        <v>0</v>
      </c>
      <c r="GA11" s="1426">
        <f>'План и исполнение'!KO13</f>
        <v>0</v>
      </c>
      <c r="GB11" s="1424">
        <f>'План и исполнение'!KY13</f>
        <v>0</v>
      </c>
      <c r="GC11" s="100">
        <f>'Федеральные  средства  по  МО'!AU12</f>
        <v>0</v>
      </c>
      <c r="GD11" s="1426">
        <f>'План и исполнение'!JZ13</f>
        <v>0</v>
      </c>
      <c r="GE11" s="1424">
        <f>'План и исполнение'!KT13</f>
        <v>0</v>
      </c>
      <c r="GF11" s="1426">
        <f>'План и исполнение'!LD13</f>
        <v>0</v>
      </c>
      <c r="GG11" s="103">
        <f>'Федеральные  средства  по  МО'!AV12</f>
        <v>0</v>
      </c>
      <c r="GH11" s="1424"/>
      <c r="GI11" s="1426">
        <f>'План и исполнение'!KM13</f>
        <v>0</v>
      </c>
      <c r="GJ11" s="1424">
        <f>'План и исполнение'!KW13</f>
        <v>0</v>
      </c>
      <c r="GK11" s="100">
        <f>'Федеральные  средства  по  МО'!AW12</f>
        <v>0</v>
      </c>
      <c r="GL11" s="1426"/>
      <c r="GM11" s="1424">
        <f>'План и исполнение'!KR13</f>
        <v>0</v>
      </c>
      <c r="GN11" s="1426">
        <f>'План и исполнение'!LB13</f>
        <v>0</v>
      </c>
      <c r="GO11" s="103">
        <f>'Федеральные  средства  по  МО'!AX12</f>
        <v>0</v>
      </c>
      <c r="GP11" s="1424">
        <f t="shared" ref="GP11:GP27" si="40">GO11</f>
        <v>0</v>
      </c>
      <c r="GQ11" s="1426"/>
      <c r="GR11" s="1424"/>
      <c r="GS11" s="104">
        <f>'Федеральные  средства  по  МО'!AY12</f>
        <v>0</v>
      </c>
      <c r="GT11" s="1424">
        <f t="shared" si="16"/>
        <v>0</v>
      </c>
      <c r="GU11" s="1426"/>
      <c r="GV11" s="1424"/>
      <c r="GW11" s="104">
        <f>'Федеральные  средства  по  МО'!AZ12</f>
        <v>0</v>
      </c>
      <c r="GX11" s="1424"/>
      <c r="GY11" s="1426"/>
      <c r="GZ11" s="1424"/>
      <c r="HA11" s="100">
        <f>'Федеральные  средства  по  МО'!BA12</f>
        <v>0</v>
      </c>
      <c r="HB11" s="1426"/>
      <c r="HC11" s="1424"/>
      <c r="HD11" s="1426"/>
      <c r="HE11" s="103">
        <f>'Федеральные  средства  по  МО'!BB12</f>
        <v>0</v>
      </c>
      <c r="HF11" s="1424"/>
      <c r="HG11" s="1426"/>
      <c r="HH11" s="1424"/>
      <c r="HI11" s="104">
        <f>'Федеральные  средства  по  МО'!BC12</f>
        <v>0</v>
      </c>
      <c r="HJ11" s="1424"/>
      <c r="HK11" s="1426"/>
      <c r="HL11" s="1424"/>
      <c r="HM11" s="104">
        <f>'Федеральные  средства  по  МО'!BD12</f>
        <v>0</v>
      </c>
      <c r="HN11" s="1424"/>
      <c r="HO11" s="1426"/>
      <c r="HP11" s="1424"/>
      <c r="HQ11" s="100">
        <f>'Федеральные  средства  по  МО'!BE12</f>
        <v>0</v>
      </c>
      <c r="HR11" s="1426"/>
      <c r="HS11" s="1424"/>
      <c r="HT11" s="1426"/>
      <c r="HU11" s="103">
        <f>'Федеральные  средства  по  МО'!BF12</f>
        <v>16530000</v>
      </c>
      <c r="HV11" s="1424"/>
      <c r="HW11" s="1426"/>
      <c r="HX11" s="1424">
        <f>'План и исполнение'!NM13</f>
        <v>16530000</v>
      </c>
      <c r="HY11" s="100">
        <f>'Федеральные  средства  по  МО'!BG12</f>
        <v>16530000</v>
      </c>
      <c r="HZ11" s="1426"/>
      <c r="IA11" s="1424"/>
      <c r="IB11" s="1426">
        <f>'План и исполнение'!NQ13</f>
        <v>16530000</v>
      </c>
      <c r="IC11" s="103">
        <f>'Федеральные  средства  по  МО'!BJ12</f>
        <v>775836.94</v>
      </c>
      <c r="ID11" s="1424"/>
      <c r="IE11" s="1426">
        <f>'План и исполнение'!OQ13</f>
        <v>775836.94</v>
      </c>
      <c r="IF11" s="1424">
        <f>'План и исполнение'!PE13</f>
        <v>0</v>
      </c>
      <c r="IG11" s="100">
        <f>'Федеральные  средства  по  МО'!BK12</f>
        <v>0</v>
      </c>
      <c r="IH11" s="1426"/>
      <c r="II11" s="1424">
        <f>'План и исполнение'!OX13</f>
        <v>0</v>
      </c>
      <c r="IJ11" s="1426">
        <f>'План и исполнение'!PL13</f>
        <v>0</v>
      </c>
      <c r="IK11" s="103">
        <f>'Федеральные  средства  по  МО'!BN12</f>
        <v>0</v>
      </c>
      <c r="IL11" s="1424"/>
      <c r="IM11" s="1426"/>
      <c r="IN11" s="1424"/>
      <c r="IO11" s="100">
        <f>'Федеральные  средства  по  МО'!BO12</f>
        <v>0</v>
      </c>
      <c r="IP11" s="1426"/>
      <c r="IQ11" s="1424"/>
      <c r="IR11" s="1426"/>
      <c r="IS11" s="103">
        <f>'Федеральные  средства  по  МО'!BH12</f>
        <v>0</v>
      </c>
      <c r="IT11" s="1424"/>
      <c r="IU11" s="1426">
        <f>'План и исполнение'!OO13</f>
        <v>0</v>
      </c>
      <c r="IV11" s="1424">
        <f>'План и исполнение'!PC13</f>
        <v>0</v>
      </c>
      <c r="IW11" s="100">
        <f>'Федеральные  средства  по  МО'!BI12</f>
        <v>0</v>
      </c>
      <c r="IX11" s="1426"/>
      <c r="IY11" s="1424">
        <f>'План и исполнение'!OV13</f>
        <v>0</v>
      </c>
      <c r="IZ11" s="1426">
        <f>'План и исполнение'!PJ13</f>
        <v>0</v>
      </c>
      <c r="JA11" s="103">
        <f>'Федеральные  средства  по  МО'!BP12</f>
        <v>5887100</v>
      </c>
      <c r="JB11" s="1424">
        <f>'План и исполнение'!PW13</f>
        <v>5887100</v>
      </c>
      <c r="JC11" s="1426">
        <f>'План и исполнение'!QI13</f>
        <v>0</v>
      </c>
      <c r="JD11" s="1424">
        <f>'План и исполнение'!QO13</f>
        <v>0</v>
      </c>
      <c r="JE11" s="100">
        <f>'Федеральные  средства  по  МО'!BQ12</f>
        <v>0</v>
      </c>
      <c r="JF11" s="1426">
        <f>'План и исполнение'!PZ13</f>
        <v>0</v>
      </c>
      <c r="JG11" s="1424">
        <f>'План и исполнение'!QL13</f>
        <v>0</v>
      </c>
      <c r="JH11" s="1426">
        <f>'План и исполнение'!QR13</f>
        <v>0</v>
      </c>
      <c r="JI11" s="103">
        <f>'Федеральные  средства  по  МО'!BL12</f>
        <v>0</v>
      </c>
      <c r="JJ11" s="1424">
        <f>'План и исполнение'!NU13</f>
        <v>0</v>
      </c>
      <c r="JK11" s="1426">
        <f>'План и исполнение'!OS13</f>
        <v>0</v>
      </c>
      <c r="JL11" s="1424">
        <f>'План и исполнение'!PG13</f>
        <v>0</v>
      </c>
      <c r="JM11" s="100">
        <f>'Федеральные  средства  по  МО'!BM12</f>
        <v>0</v>
      </c>
      <c r="JN11" s="1426">
        <f>'План и исполнение'!NX13</f>
        <v>0</v>
      </c>
      <c r="JO11" s="1424">
        <f>'План и исполнение'!OZ13</f>
        <v>0</v>
      </c>
      <c r="JP11" s="1425">
        <f>'План и исполнение'!PN13</f>
        <v>0</v>
      </c>
    </row>
    <row r="12" spans="1:276" ht="25.5" customHeight="1" x14ac:dyDescent="0.3">
      <c r="A12" s="105" t="s">
        <v>81</v>
      </c>
      <c r="B12" s="277">
        <f t="shared" si="17"/>
        <v>21164611.810000002</v>
      </c>
      <c r="C12" s="1422">
        <f t="shared" si="0"/>
        <v>0</v>
      </c>
      <c r="D12" s="1422">
        <f t="shared" si="1"/>
        <v>4634611.8100000005</v>
      </c>
      <c r="E12" s="1422">
        <f t="shared" si="18"/>
        <v>16530000.000000004</v>
      </c>
      <c r="F12" s="277">
        <f t="shared" si="19"/>
        <v>12748287.779999997</v>
      </c>
      <c r="G12" s="1422">
        <f t="shared" si="20"/>
        <v>0</v>
      </c>
      <c r="H12" s="1422">
        <f t="shared" si="21"/>
        <v>649194.68000000017</v>
      </c>
      <c r="I12" s="1422">
        <f t="shared" si="22"/>
        <v>12099093.099999998</v>
      </c>
      <c r="J12" s="105"/>
      <c r="K12" s="1421">
        <f>M12-'Федеральные  средства  по  МО'!D13</f>
        <v>0</v>
      </c>
      <c r="L12" s="1421">
        <f>Q12-'Федеральные  средства  по  МО'!E13</f>
        <v>0</v>
      </c>
      <c r="M12" s="277">
        <f t="shared" si="23"/>
        <v>55031740.969999999</v>
      </c>
      <c r="N12" s="1422">
        <f t="shared" si="24"/>
        <v>0</v>
      </c>
      <c r="O12" s="1422">
        <f t="shared" si="25"/>
        <v>13211404.909999998</v>
      </c>
      <c r="P12" s="1422">
        <f t="shared" si="26"/>
        <v>41820336.060000002</v>
      </c>
      <c r="Q12" s="277">
        <f t="shared" si="27"/>
        <v>39387704.199999996</v>
      </c>
      <c r="R12" s="1422">
        <f t="shared" si="28"/>
        <v>0</v>
      </c>
      <c r="S12" s="1422">
        <f t="shared" si="29"/>
        <v>3222232.61</v>
      </c>
      <c r="T12" s="1422">
        <f t="shared" si="30"/>
        <v>36165471.589999996</v>
      </c>
      <c r="U12" s="103">
        <f>'Федеральные  средства  по  МО'!F13</f>
        <v>0</v>
      </c>
      <c r="V12" s="1424">
        <f t="shared" si="31"/>
        <v>0</v>
      </c>
      <c r="W12" s="1426"/>
      <c r="X12" s="1424"/>
      <c r="Y12" s="101">
        <f>'Федеральные  средства  по  МО'!G13</f>
        <v>0</v>
      </c>
      <c r="Z12" s="1426">
        <f t="shared" si="32"/>
        <v>0</v>
      </c>
      <c r="AA12" s="1424"/>
      <c r="AB12" s="1425"/>
      <c r="AC12" s="1521">
        <f>'Федеральные  средства  по  МО'!H13</f>
        <v>33867129.159999996</v>
      </c>
      <c r="AD12" s="1537">
        <f>'План и исполнение'!CQ14</f>
        <v>0</v>
      </c>
      <c r="AE12" s="1538">
        <f>'План и исполнение'!CU14</f>
        <v>8576793.0999999978</v>
      </c>
      <c r="AF12" s="1537">
        <f>'План и исполнение'!CW14</f>
        <v>25290336.059999999</v>
      </c>
      <c r="AG12" s="1539">
        <f>'Федеральные  средства  по  МО'!I13</f>
        <v>26639416.419999998</v>
      </c>
      <c r="AH12" s="1538">
        <f>'План и исполнение'!CR14</f>
        <v>0</v>
      </c>
      <c r="AI12" s="1537">
        <f>'План и исполнение'!CV14</f>
        <v>2573037.9299999997</v>
      </c>
      <c r="AJ12" s="1538">
        <f>'План и исполнение'!CX14</f>
        <v>24066378.489999998</v>
      </c>
      <c r="AK12" s="1575">
        <f>'Федеральные  средства  по  МО'!J13</f>
        <v>0</v>
      </c>
      <c r="AL12" s="1576"/>
      <c r="AM12" s="1538"/>
      <c r="AN12" s="1577"/>
      <c r="AO12" s="1575">
        <f>'Федеральные  средства  по  МО'!K13</f>
        <v>0</v>
      </c>
      <c r="AP12" s="1538"/>
      <c r="AQ12" s="1537"/>
      <c r="AR12" s="1538"/>
      <c r="AS12" s="1529">
        <f>'Федеральные  средства  по  МО'!L13</f>
        <v>0</v>
      </c>
      <c r="AT12" s="1537">
        <f t="shared" si="3"/>
        <v>0</v>
      </c>
      <c r="AU12" s="1537"/>
      <c r="AV12" s="1538"/>
      <c r="AW12" s="1575">
        <f>'Федеральные  средства  по  МО'!M13</f>
        <v>0</v>
      </c>
      <c r="AX12" s="1537">
        <f t="shared" si="4"/>
        <v>0</v>
      </c>
      <c r="AY12" s="1538"/>
      <c r="AZ12" s="1537"/>
      <c r="BA12" s="1546">
        <f>'Федеральные  средства  по  МО'!N13</f>
        <v>0</v>
      </c>
      <c r="BB12" s="1537">
        <f t="shared" si="5"/>
        <v>0</v>
      </c>
      <c r="BC12" s="1538"/>
      <c r="BD12" s="1537"/>
      <c r="BE12" s="1546">
        <f>'Федеральные  средства  по  МО'!O13</f>
        <v>0</v>
      </c>
      <c r="BF12" s="1537">
        <f t="shared" si="6"/>
        <v>0</v>
      </c>
      <c r="BG12" s="1537"/>
      <c r="BH12" s="1538"/>
      <c r="BI12" s="1578">
        <f>'Федеральные  средства  по  МО'!P13</f>
        <v>0</v>
      </c>
      <c r="BJ12" s="1537">
        <f t="shared" si="7"/>
        <v>0</v>
      </c>
      <c r="BK12" s="1537"/>
      <c r="BL12" s="1576"/>
      <c r="BM12" s="1539">
        <f>'Федеральные  средства  по  МО'!Q13</f>
        <v>0</v>
      </c>
      <c r="BN12" s="1537">
        <f t="shared" si="8"/>
        <v>0</v>
      </c>
      <c r="BO12" s="1537"/>
      <c r="BP12" s="1538"/>
      <c r="BQ12" s="1575">
        <f>'Федеральные  средства  по  МО'!R13</f>
        <v>0</v>
      </c>
      <c r="BR12" s="1537">
        <f t="shared" si="9"/>
        <v>0</v>
      </c>
      <c r="BS12" s="1537"/>
      <c r="BT12" s="1576"/>
      <c r="BU12" s="1546">
        <f>'Федеральные  средства  по  МО'!S13</f>
        <v>0</v>
      </c>
      <c r="BV12" s="1537">
        <f t="shared" si="10"/>
        <v>0</v>
      </c>
      <c r="BW12" s="1537"/>
      <c r="BX12" s="1538"/>
      <c r="BY12" s="1529">
        <f>'Федеральные  средства  по  МО'!T13</f>
        <v>0</v>
      </c>
      <c r="BZ12" s="1537">
        <f t="shared" si="11"/>
        <v>0</v>
      </c>
      <c r="CA12" s="1538"/>
      <c r="CB12" s="1537"/>
      <c r="CC12" s="1539">
        <f>'Федеральные  средства  по  МО'!U13</f>
        <v>0</v>
      </c>
      <c r="CD12" s="1537">
        <f t="shared" si="12"/>
        <v>0</v>
      </c>
      <c r="CE12" s="1537"/>
      <c r="CF12" s="1538"/>
      <c r="CG12" s="1529">
        <f>'Федеральные  средства  по  МО'!V13</f>
        <v>0</v>
      </c>
      <c r="CH12" s="1537"/>
      <c r="CI12" s="1538"/>
      <c r="CJ12" s="1537"/>
      <c r="CK12" s="1539">
        <f>'Федеральные  средства  по  МО'!W13</f>
        <v>0</v>
      </c>
      <c r="CL12" s="1538"/>
      <c r="CM12" s="1537"/>
      <c r="CN12" s="1538"/>
      <c r="CO12" s="1529">
        <f>'Федеральные  средства  по  МО'!X13</f>
        <v>0</v>
      </c>
      <c r="CP12" s="1537">
        <f t="shared" si="13"/>
        <v>0</v>
      </c>
      <c r="CQ12" s="1538"/>
      <c r="CR12" s="1537"/>
      <c r="CS12" s="1539">
        <f>'Федеральные  средства  по  МО'!Y13</f>
        <v>0</v>
      </c>
      <c r="CT12" s="1537">
        <f t="shared" si="33"/>
        <v>0</v>
      </c>
      <c r="CU12" s="1537"/>
      <c r="CV12" s="1538"/>
      <c r="CW12" s="1529">
        <f>'Федеральные  средства  по  МО'!Z13</f>
        <v>0</v>
      </c>
      <c r="CX12" s="1537"/>
      <c r="CY12" s="1537"/>
      <c r="CZ12" s="1538"/>
      <c r="DA12" s="1575">
        <f>'Федеральные  средства  по  МО'!AA13</f>
        <v>0</v>
      </c>
      <c r="DB12" s="1538"/>
      <c r="DC12" s="1537"/>
      <c r="DD12" s="1538"/>
      <c r="DE12" s="1529">
        <f>'Федеральные  средства  по  МО'!AB13</f>
        <v>0</v>
      </c>
      <c r="DF12" s="1537"/>
      <c r="DG12" s="1538"/>
      <c r="DH12" s="1537"/>
      <c r="DI12" s="1539">
        <f>'Федеральные  средства  по  МО'!AC13</f>
        <v>0</v>
      </c>
      <c r="DJ12" s="1538"/>
      <c r="DK12" s="1537"/>
      <c r="DL12" s="1538"/>
      <c r="DM12" s="1529">
        <f>'Федеральные  средства  по  МО'!AD13</f>
        <v>0</v>
      </c>
      <c r="DN12" s="1537">
        <f t="shared" si="14"/>
        <v>0</v>
      </c>
      <c r="DO12" s="1538"/>
      <c r="DP12" s="1537"/>
      <c r="DQ12" s="1539">
        <f>'Федеральные  средства  по  МО'!AE13</f>
        <v>0</v>
      </c>
      <c r="DR12" s="1537">
        <f t="shared" si="15"/>
        <v>0</v>
      </c>
      <c r="DS12" s="1537"/>
      <c r="DT12" s="1538"/>
      <c r="DU12" s="1529">
        <f>'Федеральные  средства  по  МО'!AF13</f>
        <v>0</v>
      </c>
      <c r="DV12" s="1537">
        <f>'План и исполнение'!GK14</f>
        <v>0</v>
      </c>
      <c r="DW12" s="1537">
        <f>'План и исполнение'!HE14</f>
        <v>0</v>
      </c>
      <c r="DX12" s="1538">
        <f>'План и исполнение'!HO14</f>
        <v>0</v>
      </c>
      <c r="DY12" s="1575">
        <f>'Федеральные  средства  по  МО'!AG13</f>
        <v>0</v>
      </c>
      <c r="DZ12" s="1538">
        <f>'План и исполнение'!GP14</f>
        <v>0</v>
      </c>
      <c r="EA12" s="1537">
        <f>'План и исполнение'!HJ14</f>
        <v>0</v>
      </c>
      <c r="EB12" s="1538">
        <f>'План и исполнение'!HT14</f>
        <v>0</v>
      </c>
      <c r="EC12" s="1529">
        <f>'Федеральные  средства  по  МО'!AH13</f>
        <v>0</v>
      </c>
      <c r="ED12" s="1537"/>
      <c r="EE12" s="1538"/>
      <c r="EF12" s="1537"/>
      <c r="EG12" s="1539">
        <f>'Федеральные  средства  по  МО'!AI13</f>
        <v>0</v>
      </c>
      <c r="EH12" s="1538"/>
      <c r="EI12" s="1537"/>
      <c r="EJ12" s="1538"/>
      <c r="EK12" s="1529">
        <f>'Федеральные  средства  по  МО'!AJ13</f>
        <v>0</v>
      </c>
      <c r="EL12" s="1537">
        <f t="shared" si="34"/>
        <v>0</v>
      </c>
      <c r="EM12" s="1538"/>
      <c r="EN12" s="1537"/>
      <c r="EO12" s="1539">
        <f>'Федеральные  средства  по  МО'!AK13</f>
        <v>0</v>
      </c>
      <c r="EP12" s="1537">
        <f t="shared" si="35"/>
        <v>0</v>
      </c>
      <c r="EQ12" s="1537"/>
      <c r="ER12" s="1538"/>
      <c r="ES12" s="103">
        <f>'Федеральные  средства  по  МО'!AL13</f>
        <v>0</v>
      </c>
      <c r="ET12" s="1424">
        <f t="shared" si="36"/>
        <v>0</v>
      </c>
      <c r="EU12" s="1426"/>
      <c r="EV12" s="1424"/>
      <c r="EW12" s="100">
        <f>'Федеральные  средства  по  МО'!AM13</f>
        <v>0</v>
      </c>
      <c r="EX12" s="1576">
        <f t="shared" si="37"/>
        <v>0</v>
      </c>
      <c r="EY12" s="1537"/>
      <c r="EZ12" s="1538"/>
      <c r="FA12" s="1529">
        <f>'Федеральные  средства  по  МО'!AN13</f>
        <v>0</v>
      </c>
      <c r="FB12" s="1537"/>
      <c r="FC12" s="1538"/>
      <c r="FD12" s="1537"/>
      <c r="FE12" s="1539">
        <f>'Федеральные  средства  по  МО'!AO13</f>
        <v>0</v>
      </c>
      <c r="FF12" s="1538"/>
      <c r="FG12" s="1537"/>
      <c r="FH12" s="1538"/>
      <c r="FI12" s="1529">
        <f>'Федеральные  средства  по  МО'!AP13</f>
        <v>717708.89</v>
      </c>
      <c r="FJ12" s="1537">
        <f>'План и исполнение'!IO14</f>
        <v>0</v>
      </c>
      <c r="FK12" s="1538">
        <f>'План и исполнение'!JA14</f>
        <v>717708.89</v>
      </c>
      <c r="FL12" s="1537">
        <f>'План и исполнение'!JG14</f>
        <v>0</v>
      </c>
      <c r="FM12" s="1539">
        <f>'Федеральные  средства  по  МО'!AQ13</f>
        <v>649194.68000000005</v>
      </c>
      <c r="FN12" s="1538">
        <f>'План и исполнение'!IR14</f>
        <v>0</v>
      </c>
      <c r="FO12" s="1537">
        <f>'План и исполнение'!JD14</f>
        <v>649194.68000000005</v>
      </c>
      <c r="FP12" s="1538">
        <f>'План и исполнение'!JJ14</f>
        <v>0</v>
      </c>
      <c r="FQ12" s="1529">
        <f>'Федеральные  средства  по  МО'!AR13</f>
        <v>0</v>
      </c>
      <c r="FR12" s="1537">
        <f t="shared" si="38"/>
        <v>0</v>
      </c>
      <c r="FS12" s="1538"/>
      <c r="FT12" s="1537"/>
      <c r="FU12" s="1539">
        <f>'Федеральные  средства  по  МО'!AS13</f>
        <v>0</v>
      </c>
      <c r="FV12" s="1537">
        <f t="shared" si="39"/>
        <v>0</v>
      </c>
      <c r="FW12" s="1537"/>
      <c r="FX12" s="1538"/>
      <c r="FY12" s="1529">
        <f>'Федеральные  средства  по  МО'!AT13</f>
        <v>4979.5200000000004</v>
      </c>
      <c r="FZ12" s="1537">
        <f>'План и исполнение'!JU14</f>
        <v>0</v>
      </c>
      <c r="GA12" s="1538">
        <f>'План и исполнение'!KO14</f>
        <v>4979.5200000000004</v>
      </c>
      <c r="GB12" s="1537">
        <f>'План и исполнение'!KY14</f>
        <v>0</v>
      </c>
      <c r="GC12" s="1539">
        <f>'Федеральные  средства  по  МО'!AU13</f>
        <v>0</v>
      </c>
      <c r="GD12" s="1538">
        <f>'План и исполнение'!JZ14</f>
        <v>0</v>
      </c>
      <c r="GE12" s="1537">
        <f>'План и исполнение'!KT14</f>
        <v>0</v>
      </c>
      <c r="GF12" s="1538">
        <f>'План и исполнение'!LD14</f>
        <v>0</v>
      </c>
      <c r="GG12" s="1529">
        <f>'Федеральные  средства  по  МО'!AV13</f>
        <v>0</v>
      </c>
      <c r="GH12" s="1537"/>
      <c r="GI12" s="1538">
        <f>'План и исполнение'!KM14</f>
        <v>0</v>
      </c>
      <c r="GJ12" s="1537">
        <f>'План и исполнение'!KW14</f>
        <v>0</v>
      </c>
      <c r="GK12" s="1539">
        <f>'Федеральные  средства  по  МО'!AW13</f>
        <v>0</v>
      </c>
      <c r="GL12" s="1538"/>
      <c r="GM12" s="1537">
        <f>'План и исполнение'!KR14</f>
        <v>0</v>
      </c>
      <c r="GN12" s="1538">
        <f>'План и исполнение'!LB14</f>
        <v>0</v>
      </c>
      <c r="GO12" s="1529">
        <f>'Федеральные  средства  по  МО'!AX13</f>
        <v>0</v>
      </c>
      <c r="GP12" s="1537">
        <f t="shared" si="40"/>
        <v>0</v>
      </c>
      <c r="GQ12" s="1538"/>
      <c r="GR12" s="1537"/>
      <c r="GS12" s="1546">
        <f>'Федеральные  средства  по  МО'!AY13</f>
        <v>0</v>
      </c>
      <c r="GT12" s="1537">
        <f t="shared" si="16"/>
        <v>0</v>
      </c>
      <c r="GU12" s="1538"/>
      <c r="GV12" s="1537"/>
      <c r="GW12" s="1546">
        <f>'Федеральные  средства  по  МО'!AZ13</f>
        <v>0</v>
      </c>
      <c r="GX12" s="1537"/>
      <c r="GY12" s="1538"/>
      <c r="GZ12" s="1537"/>
      <c r="HA12" s="1539">
        <f>'Федеральные  средства  по  МО'!BA13</f>
        <v>0</v>
      </c>
      <c r="HB12" s="1538"/>
      <c r="HC12" s="1537"/>
      <c r="HD12" s="1538"/>
      <c r="HE12" s="1529">
        <f>'Федеральные  средства  по  МО'!BB13</f>
        <v>0</v>
      </c>
      <c r="HF12" s="1537"/>
      <c r="HG12" s="1538"/>
      <c r="HH12" s="1537"/>
      <c r="HI12" s="1546">
        <f>'Федеральные  средства  по  МО'!BC13</f>
        <v>0</v>
      </c>
      <c r="HJ12" s="1537"/>
      <c r="HK12" s="1538"/>
      <c r="HL12" s="1537"/>
      <c r="HM12" s="1546">
        <f>'Федеральные  средства  по  МО'!BD13</f>
        <v>0</v>
      </c>
      <c r="HN12" s="1537"/>
      <c r="HO12" s="1538"/>
      <c r="HP12" s="1537"/>
      <c r="HQ12" s="1539">
        <f>'Федеральные  средства  по  МО'!BE13</f>
        <v>0</v>
      </c>
      <c r="HR12" s="1538"/>
      <c r="HS12" s="1537"/>
      <c r="HT12" s="1538"/>
      <c r="HU12" s="1529">
        <f>'Федеральные  средства  по  МО'!BF13</f>
        <v>16530000</v>
      </c>
      <c r="HV12" s="1537"/>
      <c r="HW12" s="1538"/>
      <c r="HX12" s="1537">
        <f>'План и исполнение'!NM14</f>
        <v>16530000</v>
      </c>
      <c r="HY12" s="1539">
        <f>'Федеральные  средства  по  МО'!BG13</f>
        <v>12099093.1</v>
      </c>
      <c r="HZ12" s="1538"/>
      <c r="IA12" s="1537"/>
      <c r="IB12" s="1538">
        <f>'План и исполнение'!NQ14</f>
        <v>12099093.1</v>
      </c>
      <c r="IC12" s="1529">
        <f>'Федеральные  средства  по  МО'!BJ13</f>
        <v>3911923.4</v>
      </c>
      <c r="ID12" s="1537"/>
      <c r="IE12" s="1538">
        <f>'План и исполнение'!OQ14</f>
        <v>3911923.4</v>
      </c>
      <c r="IF12" s="1537">
        <f>'План и исполнение'!PE14</f>
        <v>0</v>
      </c>
      <c r="IG12" s="1539">
        <f>'Федеральные  средства  по  МО'!BK13</f>
        <v>0</v>
      </c>
      <c r="IH12" s="1538"/>
      <c r="II12" s="1537">
        <f>'План и исполнение'!OX14</f>
        <v>0</v>
      </c>
      <c r="IJ12" s="1538">
        <f>'План и исполнение'!PL14</f>
        <v>0</v>
      </c>
      <c r="IK12" s="1529">
        <f>'Федеральные  средства  по  МО'!BN13</f>
        <v>0</v>
      </c>
      <c r="IL12" s="1537"/>
      <c r="IM12" s="1538"/>
      <c r="IN12" s="1537"/>
      <c r="IO12" s="1539">
        <f>'Федеральные  средства  по  МО'!BO13</f>
        <v>0</v>
      </c>
      <c r="IP12" s="1538"/>
      <c r="IQ12" s="1537"/>
      <c r="IR12" s="1538"/>
      <c r="IS12" s="1529">
        <f>'Федеральные  средства  по  МО'!BH13</f>
        <v>0</v>
      </c>
      <c r="IT12" s="1537"/>
      <c r="IU12" s="1538">
        <f>'План и исполнение'!OO14</f>
        <v>0</v>
      </c>
      <c r="IV12" s="1537">
        <f>'План и исполнение'!PC14</f>
        <v>0</v>
      </c>
      <c r="IW12" s="1539">
        <f>'Федеральные  средства  по  МО'!BI13</f>
        <v>0</v>
      </c>
      <c r="IX12" s="1538"/>
      <c r="IY12" s="1537">
        <f>'План и исполнение'!OV14</f>
        <v>0</v>
      </c>
      <c r="IZ12" s="1538">
        <f>'План и исполнение'!PJ14</f>
        <v>0</v>
      </c>
      <c r="JA12" s="1529">
        <f>'Федеральные  средства  по  МО'!BP13</f>
        <v>0</v>
      </c>
      <c r="JB12" s="1537">
        <f>'План и исполнение'!PW14</f>
        <v>0</v>
      </c>
      <c r="JC12" s="1538">
        <f>'План и исполнение'!QI14</f>
        <v>0</v>
      </c>
      <c r="JD12" s="1537">
        <f>'План и исполнение'!QO14</f>
        <v>0</v>
      </c>
      <c r="JE12" s="1539">
        <f>'Федеральные  средства  по  МО'!BQ13</f>
        <v>0</v>
      </c>
      <c r="JF12" s="1538">
        <f>'План и исполнение'!PZ14</f>
        <v>0</v>
      </c>
      <c r="JG12" s="1537">
        <f>'План и исполнение'!QL14</f>
        <v>0</v>
      </c>
      <c r="JH12" s="1538">
        <f>'План и исполнение'!QR14</f>
        <v>0</v>
      </c>
      <c r="JI12" s="1529">
        <f>'Федеральные  средства  по  МО'!BL13</f>
        <v>0</v>
      </c>
      <c r="JJ12" s="1537">
        <f>'План и исполнение'!NU14</f>
        <v>0</v>
      </c>
      <c r="JK12" s="1538">
        <f>'План и исполнение'!OS14</f>
        <v>0</v>
      </c>
      <c r="JL12" s="1537">
        <f>'План и исполнение'!PG14</f>
        <v>0</v>
      </c>
      <c r="JM12" s="1539">
        <f>'Федеральные  средства  по  МО'!BM13</f>
        <v>0</v>
      </c>
      <c r="JN12" s="1538">
        <f>'План и исполнение'!NX14</f>
        <v>0</v>
      </c>
      <c r="JO12" s="1537">
        <f>'План и исполнение'!OZ14</f>
        <v>0</v>
      </c>
      <c r="JP12" s="1576">
        <f>'План и исполнение'!PN14</f>
        <v>0</v>
      </c>
    </row>
    <row r="13" spans="1:276" ht="25.5" customHeight="1" x14ac:dyDescent="0.3">
      <c r="A13" s="102" t="s">
        <v>82</v>
      </c>
      <c r="B13" s="277">
        <f t="shared" si="17"/>
        <v>4930928.58</v>
      </c>
      <c r="C13" s="1422">
        <f t="shared" si="0"/>
        <v>666596.05000000005</v>
      </c>
      <c r="D13" s="1422">
        <f t="shared" si="1"/>
        <v>4264332.53</v>
      </c>
      <c r="E13" s="1422">
        <f t="shared" si="18"/>
        <v>0</v>
      </c>
      <c r="F13" s="277">
        <f t="shared" si="19"/>
        <v>0</v>
      </c>
      <c r="G13" s="1422">
        <f t="shared" si="20"/>
        <v>0</v>
      </c>
      <c r="H13" s="1422">
        <f t="shared" si="21"/>
        <v>0</v>
      </c>
      <c r="I13" s="1422">
        <f t="shared" si="22"/>
        <v>0</v>
      </c>
      <c r="J13" s="105"/>
      <c r="K13" s="1421">
        <f>M13-'Федеральные  средства  по  МО'!D14</f>
        <v>0</v>
      </c>
      <c r="L13" s="1421">
        <f>Q13-'Федеральные  средства  по  МО'!E14</f>
        <v>0</v>
      </c>
      <c r="M13" s="277">
        <f t="shared" si="23"/>
        <v>4930928.58</v>
      </c>
      <c r="N13" s="1422">
        <f t="shared" si="24"/>
        <v>666596.05000000005</v>
      </c>
      <c r="O13" s="1422">
        <f t="shared" si="25"/>
        <v>4264332.53</v>
      </c>
      <c r="P13" s="1422">
        <f t="shared" si="26"/>
        <v>0</v>
      </c>
      <c r="Q13" s="277">
        <f t="shared" si="27"/>
        <v>0</v>
      </c>
      <c r="R13" s="1422">
        <f t="shared" si="28"/>
        <v>0</v>
      </c>
      <c r="S13" s="1422">
        <f t="shared" si="29"/>
        <v>0</v>
      </c>
      <c r="T13" s="1422">
        <f t="shared" si="30"/>
        <v>0</v>
      </c>
      <c r="U13" s="103">
        <f>'Федеральные  средства  по  МО'!F14</f>
        <v>0</v>
      </c>
      <c r="V13" s="1424">
        <f t="shared" si="31"/>
        <v>0</v>
      </c>
      <c r="W13" s="1426"/>
      <c r="X13" s="1424"/>
      <c r="Y13" s="101">
        <f>'Федеральные  средства  по  МО'!G14</f>
        <v>0</v>
      </c>
      <c r="Z13" s="1426">
        <f t="shared" si="32"/>
        <v>0</v>
      </c>
      <c r="AA13" s="1424"/>
      <c r="AB13" s="1425"/>
      <c r="AC13" s="104">
        <f>'Федеральные  средства  по  МО'!H14</f>
        <v>0</v>
      </c>
      <c r="AD13" s="1424">
        <f>'План и исполнение'!CQ15</f>
        <v>0</v>
      </c>
      <c r="AE13" s="1426">
        <f>'План и исполнение'!CU15</f>
        <v>0</v>
      </c>
      <c r="AF13" s="1424">
        <f>'План и исполнение'!CW15</f>
        <v>0</v>
      </c>
      <c r="AG13" s="100">
        <f>'Федеральные  средства  по  МО'!I14</f>
        <v>0</v>
      </c>
      <c r="AH13" s="1426">
        <f>'План и исполнение'!CR15</f>
        <v>0</v>
      </c>
      <c r="AI13" s="1424">
        <f>'План и исполнение'!CV15</f>
        <v>0</v>
      </c>
      <c r="AJ13" s="1426">
        <f>'План и исполнение'!CX15</f>
        <v>0</v>
      </c>
      <c r="AK13" s="101">
        <f>'Федеральные  средства  по  МО'!J14</f>
        <v>0</v>
      </c>
      <c r="AL13" s="1425"/>
      <c r="AM13" s="1426"/>
      <c r="AN13" s="1423"/>
      <c r="AO13" s="101">
        <f>'Федеральные  средства  по  МО'!K14</f>
        <v>0</v>
      </c>
      <c r="AP13" s="1426"/>
      <c r="AQ13" s="1424"/>
      <c r="AR13" s="1426"/>
      <c r="AS13" s="103">
        <f>'Федеральные  средства  по  МО'!L14</f>
        <v>0</v>
      </c>
      <c r="AT13" s="1424">
        <f t="shared" si="3"/>
        <v>0</v>
      </c>
      <c r="AU13" s="1424"/>
      <c r="AV13" s="1426"/>
      <c r="AW13" s="101">
        <f>'Федеральные  средства  по  МО'!M14</f>
        <v>0</v>
      </c>
      <c r="AX13" s="1424">
        <f t="shared" si="4"/>
        <v>0</v>
      </c>
      <c r="AY13" s="1426"/>
      <c r="AZ13" s="1424"/>
      <c r="BA13" s="104">
        <f>'Федеральные  средства  по  МО'!N14</f>
        <v>0</v>
      </c>
      <c r="BB13" s="1424">
        <f t="shared" si="5"/>
        <v>0</v>
      </c>
      <c r="BC13" s="1426"/>
      <c r="BD13" s="1424"/>
      <c r="BE13" s="104">
        <f>'Федеральные  средства  по  МО'!O14</f>
        <v>0</v>
      </c>
      <c r="BF13" s="1424">
        <f t="shared" si="6"/>
        <v>0</v>
      </c>
      <c r="BG13" s="1424"/>
      <c r="BH13" s="1426"/>
      <c r="BI13" s="1528">
        <f>'Федеральные  средства  по  МО'!P14</f>
        <v>0</v>
      </c>
      <c r="BJ13" s="1424">
        <f t="shared" si="7"/>
        <v>0</v>
      </c>
      <c r="BK13" s="1424"/>
      <c r="BL13" s="1425"/>
      <c r="BM13" s="100">
        <f>'Федеральные  средства  по  МО'!Q14</f>
        <v>0</v>
      </c>
      <c r="BN13" s="1424">
        <f t="shared" si="8"/>
        <v>0</v>
      </c>
      <c r="BO13" s="1424"/>
      <c r="BP13" s="1426"/>
      <c r="BQ13" s="101">
        <f>'Федеральные  средства  по  МО'!R14</f>
        <v>0</v>
      </c>
      <c r="BR13" s="1424">
        <f t="shared" si="9"/>
        <v>0</v>
      </c>
      <c r="BS13" s="1424"/>
      <c r="BT13" s="1425"/>
      <c r="BU13" s="104">
        <f>'Федеральные  средства  по  МО'!S14</f>
        <v>0</v>
      </c>
      <c r="BV13" s="1424">
        <f t="shared" si="10"/>
        <v>0</v>
      </c>
      <c r="BW13" s="1424"/>
      <c r="BX13" s="1426"/>
      <c r="BY13" s="103">
        <f>'Федеральные  средства  по  МО'!T14</f>
        <v>0</v>
      </c>
      <c r="BZ13" s="1424">
        <f t="shared" si="11"/>
        <v>0</v>
      </c>
      <c r="CA13" s="1426"/>
      <c r="CB13" s="1424"/>
      <c r="CC13" s="100">
        <f>'Федеральные  средства  по  МО'!U14</f>
        <v>0</v>
      </c>
      <c r="CD13" s="1424">
        <f t="shared" si="12"/>
        <v>0</v>
      </c>
      <c r="CE13" s="1424"/>
      <c r="CF13" s="1426"/>
      <c r="CG13" s="103">
        <f>'Федеральные  средства  по  МО'!V14</f>
        <v>0</v>
      </c>
      <c r="CH13" s="1424"/>
      <c r="CI13" s="1426"/>
      <c r="CJ13" s="1424"/>
      <c r="CK13" s="100">
        <f>'Федеральные  средства  по  МО'!W14</f>
        <v>0</v>
      </c>
      <c r="CL13" s="1426"/>
      <c r="CM13" s="1424"/>
      <c r="CN13" s="1426"/>
      <c r="CO13" s="103">
        <f>'Федеральные  средства  по  МО'!X14</f>
        <v>0</v>
      </c>
      <c r="CP13" s="1424">
        <f t="shared" si="13"/>
        <v>0</v>
      </c>
      <c r="CQ13" s="1426"/>
      <c r="CR13" s="1424"/>
      <c r="CS13" s="100">
        <f>'Федеральные  средства  по  МО'!Y14</f>
        <v>0</v>
      </c>
      <c r="CT13" s="1424">
        <f t="shared" si="33"/>
        <v>0</v>
      </c>
      <c r="CU13" s="1424"/>
      <c r="CV13" s="1426"/>
      <c r="CW13" s="103">
        <f>'Федеральные  средства  по  МО'!Z14</f>
        <v>0</v>
      </c>
      <c r="CX13" s="1424"/>
      <c r="CY13" s="1424"/>
      <c r="CZ13" s="1426"/>
      <c r="DA13" s="101">
        <f>'Федеральные  средства  по  МО'!AA14</f>
        <v>0</v>
      </c>
      <c r="DB13" s="1426"/>
      <c r="DC13" s="1424"/>
      <c r="DD13" s="1426"/>
      <c r="DE13" s="103">
        <f>'Федеральные  средства  по  МО'!AB14</f>
        <v>0</v>
      </c>
      <c r="DF13" s="1424"/>
      <c r="DG13" s="1426"/>
      <c r="DH13" s="1424"/>
      <c r="DI13" s="100">
        <f>'Федеральные  средства  по  МО'!AC14</f>
        <v>0</v>
      </c>
      <c r="DJ13" s="1426"/>
      <c r="DK13" s="1424"/>
      <c r="DL13" s="1426"/>
      <c r="DM13" s="103">
        <f>'Федеральные  средства  по  МО'!AD14</f>
        <v>0</v>
      </c>
      <c r="DN13" s="1424">
        <f t="shared" si="14"/>
        <v>0</v>
      </c>
      <c r="DO13" s="1426"/>
      <c r="DP13" s="1424"/>
      <c r="DQ13" s="100">
        <f>'Федеральные  средства  по  МО'!AE14</f>
        <v>0</v>
      </c>
      <c r="DR13" s="1424">
        <f t="shared" si="15"/>
        <v>0</v>
      </c>
      <c r="DS13" s="1424"/>
      <c r="DT13" s="1426"/>
      <c r="DU13" s="103">
        <f>'Федеральные  средства  по  МО'!AF14</f>
        <v>0</v>
      </c>
      <c r="DV13" s="1424">
        <f>'План и исполнение'!GK15</f>
        <v>0</v>
      </c>
      <c r="DW13" s="1424">
        <f>'План и исполнение'!HE15</f>
        <v>0</v>
      </c>
      <c r="DX13" s="1426">
        <f>'План и исполнение'!HO15</f>
        <v>0</v>
      </c>
      <c r="DY13" s="101">
        <f>'Федеральные  средства  по  МО'!AG14</f>
        <v>0</v>
      </c>
      <c r="DZ13" s="1426">
        <f>'План и исполнение'!GP15</f>
        <v>0</v>
      </c>
      <c r="EA13" s="1424">
        <f>'План и исполнение'!HJ15</f>
        <v>0</v>
      </c>
      <c r="EB13" s="1426">
        <f>'План и исполнение'!HT15</f>
        <v>0</v>
      </c>
      <c r="EC13" s="103">
        <f>'Федеральные  средства  по  МО'!AH14</f>
        <v>0</v>
      </c>
      <c r="ED13" s="1424"/>
      <c r="EE13" s="1426"/>
      <c r="EF13" s="1424"/>
      <c r="EG13" s="100">
        <f>'Федеральные  средства  по  МО'!AI14</f>
        <v>0</v>
      </c>
      <c r="EH13" s="1426"/>
      <c r="EI13" s="1424"/>
      <c r="EJ13" s="1426"/>
      <c r="EK13" s="103">
        <f>'Федеральные  средства  по  МО'!AJ14</f>
        <v>0</v>
      </c>
      <c r="EL13" s="1424">
        <f t="shared" si="34"/>
        <v>0</v>
      </c>
      <c r="EM13" s="1426"/>
      <c r="EN13" s="1424"/>
      <c r="EO13" s="100">
        <f>'Федеральные  средства  по  МО'!AK14</f>
        <v>0</v>
      </c>
      <c r="EP13" s="1424">
        <f t="shared" si="35"/>
        <v>0</v>
      </c>
      <c r="EQ13" s="1424"/>
      <c r="ER13" s="1426"/>
      <c r="ES13" s="103">
        <f>'Федеральные  средства  по  МО'!AL14</f>
        <v>0</v>
      </c>
      <c r="ET13" s="1424">
        <f t="shared" si="36"/>
        <v>0</v>
      </c>
      <c r="EU13" s="1426"/>
      <c r="EV13" s="1424"/>
      <c r="EW13" s="100">
        <f>'Федеральные  средства  по  МО'!AM14</f>
        <v>0</v>
      </c>
      <c r="EX13" s="1425">
        <f t="shared" si="37"/>
        <v>0</v>
      </c>
      <c r="EY13" s="1424"/>
      <c r="EZ13" s="1426"/>
      <c r="FA13" s="103">
        <f>'Федеральные  средства  по  МО'!AN14</f>
        <v>0</v>
      </c>
      <c r="FB13" s="1424"/>
      <c r="FC13" s="1426"/>
      <c r="FD13" s="1424"/>
      <c r="FE13" s="100">
        <f>'Федеральные  средства  по  МО'!AO14</f>
        <v>0</v>
      </c>
      <c r="FF13" s="1426"/>
      <c r="FG13" s="1424"/>
      <c r="FH13" s="1426"/>
      <c r="FI13" s="103">
        <f>'Федеральные  средства  по  МО'!AP14</f>
        <v>666596.05000000005</v>
      </c>
      <c r="FJ13" s="1424">
        <f>'План и исполнение'!IO15</f>
        <v>666596.05000000005</v>
      </c>
      <c r="FK13" s="1426">
        <f>'План и исполнение'!JA15</f>
        <v>0</v>
      </c>
      <c r="FL13" s="1424">
        <f>'План и исполнение'!JG15</f>
        <v>0</v>
      </c>
      <c r="FM13" s="100">
        <f>'Федеральные  средства  по  МО'!AQ14</f>
        <v>0</v>
      </c>
      <c r="FN13" s="1426">
        <f>'План и исполнение'!IR15</f>
        <v>0</v>
      </c>
      <c r="FO13" s="1424">
        <f>'План и исполнение'!JD15</f>
        <v>0</v>
      </c>
      <c r="FP13" s="1426">
        <f>'План и исполнение'!JJ15</f>
        <v>0</v>
      </c>
      <c r="FQ13" s="103">
        <f>'Федеральные  средства  по  МО'!AR14</f>
        <v>0</v>
      </c>
      <c r="FR13" s="1424">
        <f t="shared" si="38"/>
        <v>0</v>
      </c>
      <c r="FS13" s="1426"/>
      <c r="FT13" s="1424"/>
      <c r="FU13" s="100">
        <f>'Федеральные  средства  по  МО'!AS14</f>
        <v>0</v>
      </c>
      <c r="FV13" s="1424">
        <f t="shared" si="39"/>
        <v>0</v>
      </c>
      <c r="FW13" s="1424"/>
      <c r="FX13" s="1426"/>
      <c r="FY13" s="103">
        <f>'Федеральные  средства  по  МО'!AT14</f>
        <v>0</v>
      </c>
      <c r="FZ13" s="1424">
        <f>'План и исполнение'!JU15</f>
        <v>0</v>
      </c>
      <c r="GA13" s="1426">
        <f>'План и исполнение'!KO15</f>
        <v>0</v>
      </c>
      <c r="GB13" s="1424">
        <f>'План и исполнение'!KY15</f>
        <v>0</v>
      </c>
      <c r="GC13" s="100">
        <f>'Федеральные  средства  по  МО'!AU14</f>
        <v>0</v>
      </c>
      <c r="GD13" s="1426">
        <f>'План и исполнение'!JZ15</f>
        <v>0</v>
      </c>
      <c r="GE13" s="1424">
        <f>'План и исполнение'!KT15</f>
        <v>0</v>
      </c>
      <c r="GF13" s="1426">
        <f>'План и исполнение'!LD15</f>
        <v>0</v>
      </c>
      <c r="GG13" s="103">
        <f>'Федеральные  средства  по  МО'!AV14</f>
        <v>0</v>
      </c>
      <c r="GH13" s="1424"/>
      <c r="GI13" s="1426">
        <f>'План и исполнение'!KM15</f>
        <v>0</v>
      </c>
      <c r="GJ13" s="1424">
        <f>'План и исполнение'!KW15</f>
        <v>0</v>
      </c>
      <c r="GK13" s="100">
        <f>'Федеральные  средства  по  МО'!AW14</f>
        <v>0</v>
      </c>
      <c r="GL13" s="1426"/>
      <c r="GM13" s="1424">
        <f>'План и исполнение'!KR15</f>
        <v>0</v>
      </c>
      <c r="GN13" s="1426">
        <f>'План и исполнение'!LB15</f>
        <v>0</v>
      </c>
      <c r="GO13" s="103">
        <f>'Федеральные  средства  по  МО'!AX14</f>
        <v>0</v>
      </c>
      <c r="GP13" s="1424">
        <f t="shared" si="40"/>
        <v>0</v>
      </c>
      <c r="GQ13" s="1426"/>
      <c r="GR13" s="1424"/>
      <c r="GS13" s="104">
        <f>'Федеральные  средства  по  МО'!AY14</f>
        <v>0</v>
      </c>
      <c r="GT13" s="1424">
        <f t="shared" si="16"/>
        <v>0</v>
      </c>
      <c r="GU13" s="1426"/>
      <c r="GV13" s="1424"/>
      <c r="GW13" s="104">
        <f>'Федеральные  средства  по  МО'!AZ14</f>
        <v>0</v>
      </c>
      <c r="GX13" s="1424"/>
      <c r="GY13" s="1426"/>
      <c r="GZ13" s="1424"/>
      <c r="HA13" s="100">
        <f>'Федеральные  средства  по  МО'!BA14</f>
        <v>0</v>
      </c>
      <c r="HB13" s="1426"/>
      <c r="HC13" s="1424"/>
      <c r="HD13" s="1426"/>
      <c r="HE13" s="103">
        <f>'Федеральные  средства  по  МО'!BB14</f>
        <v>0</v>
      </c>
      <c r="HF13" s="1424"/>
      <c r="HG13" s="1426"/>
      <c r="HH13" s="1424"/>
      <c r="HI13" s="104">
        <f>'Федеральные  средства  по  МО'!BC14</f>
        <v>0</v>
      </c>
      <c r="HJ13" s="1424"/>
      <c r="HK13" s="1426"/>
      <c r="HL13" s="1424"/>
      <c r="HM13" s="104">
        <f>'Федеральные  средства  по  МО'!BD14</f>
        <v>0</v>
      </c>
      <c r="HN13" s="1424"/>
      <c r="HO13" s="1426"/>
      <c r="HP13" s="1424"/>
      <c r="HQ13" s="100">
        <f>'Федеральные  средства  по  МО'!BE14</f>
        <v>0</v>
      </c>
      <c r="HR13" s="1426"/>
      <c r="HS13" s="1424"/>
      <c r="HT13" s="1426"/>
      <c r="HU13" s="103">
        <f>'Федеральные  средства  по  МО'!BF14</f>
        <v>0</v>
      </c>
      <c r="HV13" s="1424"/>
      <c r="HW13" s="1426"/>
      <c r="HX13" s="1424">
        <f>'План и исполнение'!NM15</f>
        <v>0</v>
      </c>
      <c r="HY13" s="100">
        <f>'Федеральные  средства  по  МО'!BG14</f>
        <v>0</v>
      </c>
      <c r="HZ13" s="1426"/>
      <c r="IA13" s="1424"/>
      <c r="IB13" s="1426">
        <f>'План и исполнение'!NQ15</f>
        <v>0</v>
      </c>
      <c r="IC13" s="103">
        <f>'Федеральные  средства  по  МО'!BJ14</f>
        <v>4264332.53</v>
      </c>
      <c r="ID13" s="1424"/>
      <c r="IE13" s="1426">
        <f>'План и исполнение'!OQ15</f>
        <v>4264332.53</v>
      </c>
      <c r="IF13" s="1424">
        <f>'План и исполнение'!PE15</f>
        <v>0</v>
      </c>
      <c r="IG13" s="100">
        <f>'Федеральные  средства  по  МО'!BK14</f>
        <v>0</v>
      </c>
      <c r="IH13" s="1426"/>
      <c r="II13" s="1424">
        <f>'План и исполнение'!OX15</f>
        <v>0</v>
      </c>
      <c r="IJ13" s="1426">
        <f>'План и исполнение'!PL15</f>
        <v>0</v>
      </c>
      <c r="IK13" s="103">
        <f>'Федеральные  средства  по  МО'!BN14</f>
        <v>0</v>
      </c>
      <c r="IL13" s="1424"/>
      <c r="IM13" s="1426"/>
      <c r="IN13" s="1424"/>
      <c r="IO13" s="100">
        <f>'Федеральные  средства  по  МО'!BO14</f>
        <v>0</v>
      </c>
      <c r="IP13" s="1426"/>
      <c r="IQ13" s="1424"/>
      <c r="IR13" s="1426"/>
      <c r="IS13" s="103">
        <f>'Федеральные  средства  по  МО'!BH14</f>
        <v>0</v>
      </c>
      <c r="IT13" s="1424"/>
      <c r="IU13" s="1426">
        <f>'План и исполнение'!OO15</f>
        <v>0</v>
      </c>
      <c r="IV13" s="1424">
        <f>'План и исполнение'!PC15</f>
        <v>0</v>
      </c>
      <c r="IW13" s="100">
        <f>'Федеральные  средства  по  МО'!BI14</f>
        <v>0</v>
      </c>
      <c r="IX13" s="1426"/>
      <c r="IY13" s="1424">
        <f>'План и исполнение'!OV15</f>
        <v>0</v>
      </c>
      <c r="IZ13" s="1426">
        <f>'План и исполнение'!PJ15</f>
        <v>0</v>
      </c>
      <c r="JA13" s="103">
        <f>'Федеральные  средства  по  МО'!BP14</f>
        <v>0</v>
      </c>
      <c r="JB13" s="1424">
        <f>'План и исполнение'!PW15</f>
        <v>0</v>
      </c>
      <c r="JC13" s="1426">
        <f>'План и исполнение'!QI15</f>
        <v>0</v>
      </c>
      <c r="JD13" s="1424">
        <f>'План и исполнение'!QO15</f>
        <v>0</v>
      </c>
      <c r="JE13" s="100">
        <f>'Федеральные  средства  по  МО'!BQ14</f>
        <v>0</v>
      </c>
      <c r="JF13" s="1426">
        <f>'План и исполнение'!PZ15</f>
        <v>0</v>
      </c>
      <c r="JG13" s="1424">
        <f>'План и исполнение'!QL15</f>
        <v>0</v>
      </c>
      <c r="JH13" s="1426">
        <f>'План и исполнение'!QR15</f>
        <v>0</v>
      </c>
      <c r="JI13" s="103">
        <f>'Федеральные  средства  по  МО'!BL14</f>
        <v>0</v>
      </c>
      <c r="JJ13" s="1424">
        <f>'План и исполнение'!NU15</f>
        <v>0</v>
      </c>
      <c r="JK13" s="1426">
        <f>'План и исполнение'!OS15</f>
        <v>0</v>
      </c>
      <c r="JL13" s="1424">
        <f>'План и исполнение'!PG15</f>
        <v>0</v>
      </c>
      <c r="JM13" s="100">
        <f>'Федеральные  средства  по  МО'!BM14</f>
        <v>0</v>
      </c>
      <c r="JN13" s="1426">
        <f>'План и исполнение'!NX15</f>
        <v>0</v>
      </c>
      <c r="JO13" s="1424">
        <f>'План и исполнение'!OZ15</f>
        <v>0</v>
      </c>
      <c r="JP13" s="1425">
        <f>'План и исполнение'!PN15</f>
        <v>0</v>
      </c>
    </row>
    <row r="14" spans="1:276" ht="25.5" customHeight="1" x14ac:dyDescent="0.3">
      <c r="A14" s="105" t="s">
        <v>83</v>
      </c>
      <c r="B14" s="277">
        <f t="shared" si="17"/>
        <v>96436082.030000001</v>
      </c>
      <c r="C14" s="1422">
        <f t="shared" si="0"/>
        <v>66913824.560000002</v>
      </c>
      <c r="D14" s="1422">
        <f t="shared" si="1"/>
        <v>29522257.469999999</v>
      </c>
      <c r="E14" s="1422">
        <f t="shared" si="18"/>
        <v>0</v>
      </c>
      <c r="F14" s="277">
        <f t="shared" si="19"/>
        <v>768594.45</v>
      </c>
      <c r="G14" s="1422">
        <f t="shared" si="20"/>
        <v>143924.56</v>
      </c>
      <c r="H14" s="1422">
        <f t="shared" si="21"/>
        <v>624669.89</v>
      </c>
      <c r="I14" s="1422">
        <f t="shared" si="22"/>
        <v>0</v>
      </c>
      <c r="J14" s="105"/>
      <c r="K14" s="1421">
        <f>M14-'Федеральные  средства  по  МО'!D15</f>
        <v>0</v>
      </c>
      <c r="L14" s="1421">
        <f>Q14-'Федеральные  средства  по  МО'!E15</f>
        <v>0</v>
      </c>
      <c r="M14" s="277">
        <f t="shared" si="23"/>
        <v>96436082.030000001</v>
      </c>
      <c r="N14" s="1422">
        <f t="shared" si="24"/>
        <v>66913824.560000002</v>
      </c>
      <c r="O14" s="1422">
        <f t="shared" si="25"/>
        <v>29522257.469999999</v>
      </c>
      <c r="P14" s="1422">
        <f t="shared" si="26"/>
        <v>0</v>
      </c>
      <c r="Q14" s="277">
        <f t="shared" si="27"/>
        <v>768594.45</v>
      </c>
      <c r="R14" s="1422">
        <f t="shared" si="28"/>
        <v>143924.56</v>
      </c>
      <c r="S14" s="1422">
        <f t="shared" si="29"/>
        <v>624669.89</v>
      </c>
      <c r="T14" s="1422">
        <f t="shared" si="30"/>
        <v>0</v>
      </c>
      <c r="U14" s="103">
        <f>'Федеральные  средства  по  МО'!F15</f>
        <v>0</v>
      </c>
      <c r="V14" s="1424">
        <f t="shared" si="31"/>
        <v>0</v>
      </c>
      <c r="W14" s="1426"/>
      <c r="X14" s="1424"/>
      <c r="Y14" s="101">
        <f>'Федеральные  средства  по  МО'!G15</f>
        <v>0</v>
      </c>
      <c r="Z14" s="1426">
        <f t="shared" si="32"/>
        <v>0</v>
      </c>
      <c r="AA14" s="1424"/>
      <c r="AB14" s="1425"/>
      <c r="AC14" s="1509">
        <f>'Федеральные  средства  по  МО'!H15</f>
        <v>0</v>
      </c>
      <c r="AD14" s="1537">
        <f>'План и исполнение'!CQ16</f>
        <v>0</v>
      </c>
      <c r="AE14" s="1538">
        <f>'План и исполнение'!CU16</f>
        <v>0</v>
      </c>
      <c r="AF14" s="1537">
        <f>'План и исполнение'!CW16</f>
        <v>0</v>
      </c>
      <c r="AG14" s="1539">
        <f>'Федеральные  средства  по  МО'!I15</f>
        <v>0</v>
      </c>
      <c r="AH14" s="1538">
        <f>'План и исполнение'!CR16</f>
        <v>0</v>
      </c>
      <c r="AI14" s="1537">
        <f>'План и исполнение'!CV16</f>
        <v>0</v>
      </c>
      <c r="AJ14" s="1538">
        <f>'План и исполнение'!CX16</f>
        <v>0</v>
      </c>
      <c r="AK14" s="1575">
        <f>'Федеральные  средства  по  МО'!J15</f>
        <v>0</v>
      </c>
      <c r="AL14" s="1576"/>
      <c r="AM14" s="1538"/>
      <c r="AN14" s="1577"/>
      <c r="AO14" s="1575">
        <f>'Федеральные  средства  по  МО'!K15</f>
        <v>0</v>
      </c>
      <c r="AP14" s="1538"/>
      <c r="AQ14" s="1537"/>
      <c r="AR14" s="1538"/>
      <c r="AS14" s="1529">
        <f>'Федеральные  средства  по  МО'!L15</f>
        <v>0</v>
      </c>
      <c r="AT14" s="1537">
        <f t="shared" si="3"/>
        <v>0</v>
      </c>
      <c r="AU14" s="1537"/>
      <c r="AV14" s="1538"/>
      <c r="AW14" s="1575">
        <f>'Федеральные  средства  по  МО'!M15</f>
        <v>0</v>
      </c>
      <c r="AX14" s="1537">
        <f t="shared" si="4"/>
        <v>0</v>
      </c>
      <c r="AY14" s="1538"/>
      <c r="AZ14" s="1537"/>
      <c r="BA14" s="1546">
        <f>'Федеральные  средства  по  МО'!N15</f>
        <v>363600</v>
      </c>
      <c r="BB14" s="1537">
        <f t="shared" si="5"/>
        <v>363600</v>
      </c>
      <c r="BC14" s="1538"/>
      <c r="BD14" s="1537"/>
      <c r="BE14" s="1546">
        <f>'Федеральные  средства  по  МО'!O15</f>
        <v>0</v>
      </c>
      <c r="BF14" s="1537">
        <f t="shared" si="6"/>
        <v>0</v>
      </c>
      <c r="BG14" s="1537"/>
      <c r="BH14" s="1538"/>
      <c r="BI14" s="1578">
        <f>'Федеральные  средства  по  МО'!P15</f>
        <v>0</v>
      </c>
      <c r="BJ14" s="1537">
        <f t="shared" si="7"/>
        <v>0</v>
      </c>
      <c r="BK14" s="1537"/>
      <c r="BL14" s="1576"/>
      <c r="BM14" s="1539">
        <f>'Федеральные  средства  по  МО'!Q15</f>
        <v>0</v>
      </c>
      <c r="BN14" s="1537">
        <f t="shared" si="8"/>
        <v>0</v>
      </c>
      <c r="BO14" s="1537"/>
      <c r="BP14" s="1538"/>
      <c r="BQ14" s="1575">
        <f>'Федеральные  средства  по  МО'!R15</f>
        <v>0</v>
      </c>
      <c r="BR14" s="1537">
        <f t="shared" si="9"/>
        <v>0</v>
      </c>
      <c r="BS14" s="1537"/>
      <c r="BT14" s="1576"/>
      <c r="BU14" s="1546">
        <f>'Федеральные  средства  по  МО'!S15</f>
        <v>0</v>
      </c>
      <c r="BV14" s="1537">
        <f t="shared" si="10"/>
        <v>0</v>
      </c>
      <c r="BW14" s="1537"/>
      <c r="BX14" s="1538"/>
      <c r="BY14" s="1529">
        <f>'Федеральные  средства  по  МО'!T15</f>
        <v>0</v>
      </c>
      <c r="BZ14" s="1537">
        <f t="shared" si="11"/>
        <v>0</v>
      </c>
      <c r="CA14" s="1538"/>
      <c r="CB14" s="1537"/>
      <c r="CC14" s="1539">
        <f>'Федеральные  средства  по  МО'!U15</f>
        <v>0</v>
      </c>
      <c r="CD14" s="1537">
        <f t="shared" si="12"/>
        <v>0</v>
      </c>
      <c r="CE14" s="1537"/>
      <c r="CF14" s="1538"/>
      <c r="CG14" s="1529">
        <f>'Федеральные  средства  по  МО'!V15</f>
        <v>0</v>
      </c>
      <c r="CH14" s="1537"/>
      <c r="CI14" s="1538"/>
      <c r="CJ14" s="1537"/>
      <c r="CK14" s="1539">
        <f>'Федеральные  средства  по  МО'!W15</f>
        <v>0</v>
      </c>
      <c r="CL14" s="1538"/>
      <c r="CM14" s="1537"/>
      <c r="CN14" s="1538"/>
      <c r="CO14" s="1529">
        <f>'Федеральные  средства  по  МО'!X15</f>
        <v>0</v>
      </c>
      <c r="CP14" s="1537">
        <f t="shared" si="13"/>
        <v>0</v>
      </c>
      <c r="CQ14" s="1538"/>
      <c r="CR14" s="1537"/>
      <c r="CS14" s="1539">
        <f>'Федеральные  средства  по  МО'!Y15</f>
        <v>0</v>
      </c>
      <c r="CT14" s="1537">
        <f t="shared" si="33"/>
        <v>0</v>
      </c>
      <c r="CU14" s="1537"/>
      <c r="CV14" s="1538"/>
      <c r="CW14" s="1529">
        <f>'Федеральные  средства  по  МО'!Z15</f>
        <v>0</v>
      </c>
      <c r="CX14" s="1537"/>
      <c r="CY14" s="1537"/>
      <c r="CZ14" s="1538"/>
      <c r="DA14" s="1575">
        <f>'Федеральные  средства  по  МО'!AA15</f>
        <v>0</v>
      </c>
      <c r="DB14" s="1538"/>
      <c r="DC14" s="1537"/>
      <c r="DD14" s="1538"/>
      <c r="DE14" s="1529">
        <f>'Федеральные  средства  по  МО'!AB15</f>
        <v>0</v>
      </c>
      <c r="DF14" s="1537"/>
      <c r="DG14" s="1538"/>
      <c r="DH14" s="1537"/>
      <c r="DI14" s="1539">
        <f>'Федеральные  средства  по  МО'!AC15</f>
        <v>0</v>
      </c>
      <c r="DJ14" s="1538"/>
      <c r="DK14" s="1537"/>
      <c r="DL14" s="1538"/>
      <c r="DM14" s="1529">
        <f>'Федеральные  средства  по  МО'!AD15</f>
        <v>0</v>
      </c>
      <c r="DN14" s="1537">
        <f t="shared" si="14"/>
        <v>0</v>
      </c>
      <c r="DO14" s="1538"/>
      <c r="DP14" s="1537"/>
      <c r="DQ14" s="1539">
        <f>'Федеральные  средства  по  МО'!AE15</f>
        <v>0</v>
      </c>
      <c r="DR14" s="1537">
        <f t="shared" si="15"/>
        <v>0</v>
      </c>
      <c r="DS14" s="1537"/>
      <c r="DT14" s="1538"/>
      <c r="DU14" s="1529">
        <f>'Федеральные  средства  по  МО'!AF15</f>
        <v>229345.17</v>
      </c>
      <c r="DV14" s="1537">
        <f>'План и исполнение'!GK16</f>
        <v>0</v>
      </c>
      <c r="DW14" s="1537">
        <f>'План и исполнение'!HE16</f>
        <v>229345.17</v>
      </c>
      <c r="DX14" s="1538">
        <f>'План и исполнение'!HO16</f>
        <v>0</v>
      </c>
      <c r="DY14" s="1575">
        <f>'Федеральные  средства  по  МО'!AG15</f>
        <v>0</v>
      </c>
      <c r="DZ14" s="1538">
        <f>'План и исполнение'!GP16</f>
        <v>0</v>
      </c>
      <c r="EA14" s="1537">
        <f>'План и исполнение'!HJ16</f>
        <v>0</v>
      </c>
      <c r="EB14" s="1538">
        <f>'План и исполнение'!HT16</f>
        <v>0</v>
      </c>
      <c r="EC14" s="1529">
        <f>'Федеральные  средства  по  МО'!AH15</f>
        <v>0</v>
      </c>
      <c r="ED14" s="1537"/>
      <c r="EE14" s="1538"/>
      <c r="EF14" s="1537"/>
      <c r="EG14" s="1539">
        <f>'Федеральные  средства  по  МО'!AI15</f>
        <v>0</v>
      </c>
      <c r="EH14" s="1538"/>
      <c r="EI14" s="1537"/>
      <c r="EJ14" s="1538"/>
      <c r="EK14" s="1529">
        <f>'Федеральные  средства  по  МО'!AJ15</f>
        <v>0</v>
      </c>
      <c r="EL14" s="1537">
        <f t="shared" si="34"/>
        <v>0</v>
      </c>
      <c r="EM14" s="1538"/>
      <c r="EN14" s="1537"/>
      <c r="EO14" s="1539">
        <f>'Федеральные  средства  по  МО'!AK15</f>
        <v>0</v>
      </c>
      <c r="EP14" s="1537">
        <f t="shared" si="35"/>
        <v>0</v>
      </c>
      <c r="EQ14" s="1537"/>
      <c r="ER14" s="1538"/>
      <c r="ES14" s="103">
        <f>'Федеральные  средства  по  МО'!AL15</f>
        <v>0</v>
      </c>
      <c r="ET14" s="1424">
        <f t="shared" si="36"/>
        <v>0</v>
      </c>
      <c r="EU14" s="1426"/>
      <c r="EV14" s="1424"/>
      <c r="EW14" s="100">
        <f>'Федеральные  средства  по  МО'!AM15</f>
        <v>0</v>
      </c>
      <c r="EX14" s="1576">
        <f t="shared" si="37"/>
        <v>0</v>
      </c>
      <c r="EY14" s="1537"/>
      <c r="EZ14" s="1538"/>
      <c r="FA14" s="1529">
        <f>'Федеральные  средства  по  МО'!AN15</f>
        <v>0</v>
      </c>
      <c r="FB14" s="1537"/>
      <c r="FC14" s="1538"/>
      <c r="FD14" s="1537"/>
      <c r="FE14" s="1539">
        <f>'Федеральные  средства  по  МО'!AO15</f>
        <v>0</v>
      </c>
      <c r="FF14" s="1538"/>
      <c r="FG14" s="1537"/>
      <c r="FH14" s="1538"/>
      <c r="FI14" s="1529">
        <f>'Федеральные  средства  по  МО'!AP15</f>
        <v>860252.10000000009</v>
      </c>
      <c r="FJ14" s="1537">
        <f>'План и исполнение'!IO16</f>
        <v>143924.56</v>
      </c>
      <c r="FK14" s="1538">
        <f>'План и исполнение'!JA16</f>
        <v>716327.54</v>
      </c>
      <c r="FL14" s="1537">
        <f>'План и исполнение'!JG16</f>
        <v>0</v>
      </c>
      <c r="FM14" s="1539">
        <f>'Федеральные  средства  по  МО'!AQ15</f>
        <v>768594.45</v>
      </c>
      <c r="FN14" s="1538">
        <f>'План и исполнение'!IR16</f>
        <v>143924.56</v>
      </c>
      <c r="FO14" s="1537">
        <f>'План и исполнение'!JD16</f>
        <v>624669.89</v>
      </c>
      <c r="FP14" s="1538">
        <f>'План и исполнение'!JJ16</f>
        <v>0</v>
      </c>
      <c r="FQ14" s="1529">
        <f>'Федеральные  средства  по  МО'!AR15</f>
        <v>0</v>
      </c>
      <c r="FR14" s="1537">
        <f t="shared" si="38"/>
        <v>0</v>
      </c>
      <c r="FS14" s="1538"/>
      <c r="FT14" s="1537"/>
      <c r="FU14" s="1539">
        <f>'Федеральные  средства  по  МО'!AS15</f>
        <v>0</v>
      </c>
      <c r="FV14" s="1537">
        <f t="shared" si="39"/>
        <v>0</v>
      </c>
      <c r="FW14" s="1537"/>
      <c r="FX14" s="1538"/>
      <c r="FY14" s="1529">
        <f>'Федеральные  средства  по  МО'!AT15</f>
        <v>0</v>
      </c>
      <c r="FZ14" s="1537">
        <f>'План и исполнение'!JU16</f>
        <v>0</v>
      </c>
      <c r="GA14" s="1538">
        <f>'План и исполнение'!KO16</f>
        <v>0</v>
      </c>
      <c r="GB14" s="1537">
        <f>'План и исполнение'!KY16</f>
        <v>0</v>
      </c>
      <c r="GC14" s="1539">
        <f>'Федеральные  средства  по  МО'!AU15</f>
        <v>0</v>
      </c>
      <c r="GD14" s="1538">
        <f>'План и исполнение'!JZ16</f>
        <v>0</v>
      </c>
      <c r="GE14" s="1537">
        <f>'План и исполнение'!KT16</f>
        <v>0</v>
      </c>
      <c r="GF14" s="1538">
        <f>'План и исполнение'!LD16</f>
        <v>0</v>
      </c>
      <c r="GG14" s="1529">
        <f>'Федеральные  средства  по  МО'!AV15</f>
        <v>0</v>
      </c>
      <c r="GH14" s="1537"/>
      <c r="GI14" s="1538">
        <f>'План и исполнение'!KM16</f>
        <v>0</v>
      </c>
      <c r="GJ14" s="1537">
        <f>'План и исполнение'!KW16</f>
        <v>0</v>
      </c>
      <c r="GK14" s="1539">
        <f>'Федеральные  средства  по  МО'!AW15</f>
        <v>0</v>
      </c>
      <c r="GL14" s="1538"/>
      <c r="GM14" s="1537">
        <f>'План и исполнение'!KR16</f>
        <v>0</v>
      </c>
      <c r="GN14" s="1538">
        <f>'План и исполнение'!LB16</f>
        <v>0</v>
      </c>
      <c r="GO14" s="1529">
        <f>'Федеральные  средства  по  МО'!AX15</f>
        <v>0</v>
      </c>
      <c r="GP14" s="1537">
        <f t="shared" si="40"/>
        <v>0</v>
      </c>
      <c r="GQ14" s="1538"/>
      <c r="GR14" s="1537"/>
      <c r="GS14" s="1546">
        <f>'Федеральные  средства  по  МО'!AY15</f>
        <v>0</v>
      </c>
      <c r="GT14" s="1537">
        <f t="shared" si="16"/>
        <v>0</v>
      </c>
      <c r="GU14" s="1538"/>
      <c r="GV14" s="1537"/>
      <c r="GW14" s="1546">
        <f>'Федеральные  средства  по  МО'!AZ15</f>
        <v>0</v>
      </c>
      <c r="GX14" s="1537"/>
      <c r="GY14" s="1538"/>
      <c r="GZ14" s="1537"/>
      <c r="HA14" s="1539">
        <f>'Федеральные  средства  по  МО'!BA15</f>
        <v>0</v>
      </c>
      <c r="HB14" s="1538"/>
      <c r="HC14" s="1537"/>
      <c r="HD14" s="1538"/>
      <c r="HE14" s="1529">
        <f>'Федеральные  средства  по  МО'!BB15</f>
        <v>0</v>
      </c>
      <c r="HF14" s="1537"/>
      <c r="HG14" s="1538"/>
      <c r="HH14" s="1537"/>
      <c r="HI14" s="1546">
        <f>'Федеральные  средства  по  МО'!BC15</f>
        <v>0</v>
      </c>
      <c r="HJ14" s="1537"/>
      <c r="HK14" s="1538"/>
      <c r="HL14" s="1537"/>
      <c r="HM14" s="1546">
        <f>'Федеральные  средства  по  МО'!BD15</f>
        <v>0</v>
      </c>
      <c r="HN14" s="1537"/>
      <c r="HO14" s="1538"/>
      <c r="HP14" s="1537"/>
      <c r="HQ14" s="1539">
        <f>'Федеральные  средства  по  МО'!BE15</f>
        <v>0</v>
      </c>
      <c r="HR14" s="1538"/>
      <c r="HS14" s="1537"/>
      <c r="HT14" s="1538"/>
      <c r="HU14" s="1529">
        <f>'Федеральные  средства  по  МО'!BF15</f>
        <v>0</v>
      </c>
      <c r="HV14" s="1537"/>
      <c r="HW14" s="1538"/>
      <c r="HX14" s="1537">
        <f>'План и исполнение'!NM16</f>
        <v>0</v>
      </c>
      <c r="HY14" s="1539">
        <f>'Федеральные  средства  по  МО'!BG15</f>
        <v>0</v>
      </c>
      <c r="HZ14" s="1538"/>
      <c r="IA14" s="1537"/>
      <c r="IB14" s="1538">
        <f>'План и исполнение'!NQ16</f>
        <v>0</v>
      </c>
      <c r="IC14" s="1529">
        <f>'Федеральные  средства  по  МО'!BJ15</f>
        <v>8534784.7599999998</v>
      </c>
      <c r="ID14" s="1537"/>
      <c r="IE14" s="1538">
        <f>'План и исполнение'!OQ16</f>
        <v>8534784.7599999998</v>
      </c>
      <c r="IF14" s="1537">
        <f>'План и исполнение'!PE16</f>
        <v>0</v>
      </c>
      <c r="IG14" s="1539">
        <f>'Федеральные  средства  по  МО'!BK15</f>
        <v>0</v>
      </c>
      <c r="IH14" s="1538"/>
      <c r="II14" s="1537">
        <f>'План и исполнение'!OX16</f>
        <v>0</v>
      </c>
      <c r="IJ14" s="1538">
        <f>'План и исполнение'!PL16</f>
        <v>0</v>
      </c>
      <c r="IK14" s="1529">
        <f>'Федеральные  средства  по  МО'!BN15</f>
        <v>0</v>
      </c>
      <c r="IL14" s="1537"/>
      <c r="IM14" s="1538"/>
      <c r="IN14" s="1537"/>
      <c r="IO14" s="1539">
        <f>'Федеральные  средства  по  МО'!BO15</f>
        <v>0</v>
      </c>
      <c r="IP14" s="1538"/>
      <c r="IQ14" s="1537"/>
      <c r="IR14" s="1538"/>
      <c r="IS14" s="1529">
        <f>'Федеральные  средства  по  МО'!BH15</f>
        <v>20041800</v>
      </c>
      <c r="IT14" s="1537"/>
      <c r="IU14" s="1538">
        <f>'План и исполнение'!OO16</f>
        <v>20041800</v>
      </c>
      <c r="IV14" s="1537">
        <f>'План и исполнение'!PC16</f>
        <v>0</v>
      </c>
      <c r="IW14" s="1539">
        <f>'Федеральные  средства  по  МО'!BI15</f>
        <v>0</v>
      </c>
      <c r="IX14" s="1538"/>
      <c r="IY14" s="1537">
        <f>'План и исполнение'!OV16</f>
        <v>0</v>
      </c>
      <c r="IZ14" s="1538">
        <f>'План и исполнение'!PJ16</f>
        <v>0</v>
      </c>
      <c r="JA14" s="1529">
        <f>'Федеральные  средства  по  МО'!BP15</f>
        <v>0</v>
      </c>
      <c r="JB14" s="1537">
        <f>'План и исполнение'!PW16</f>
        <v>0</v>
      </c>
      <c r="JC14" s="1538">
        <f>'План и исполнение'!QI16</f>
        <v>0</v>
      </c>
      <c r="JD14" s="1537">
        <f>'План и исполнение'!QO16</f>
        <v>0</v>
      </c>
      <c r="JE14" s="1539">
        <f>'Федеральные  средства  по  МО'!BQ15</f>
        <v>0</v>
      </c>
      <c r="JF14" s="1538">
        <f>'План и исполнение'!PZ16</f>
        <v>0</v>
      </c>
      <c r="JG14" s="1537">
        <f>'План и исполнение'!QL16</f>
        <v>0</v>
      </c>
      <c r="JH14" s="1538">
        <f>'План и исполнение'!QR16</f>
        <v>0</v>
      </c>
      <c r="JI14" s="1529">
        <f>'Федеральные  средства  по  МО'!BL15</f>
        <v>66406300</v>
      </c>
      <c r="JJ14" s="1537">
        <f>'План и исполнение'!NU16</f>
        <v>66406300</v>
      </c>
      <c r="JK14" s="1538">
        <f>'План и исполнение'!OS16</f>
        <v>0</v>
      </c>
      <c r="JL14" s="1537">
        <f>'План и исполнение'!PG16</f>
        <v>0</v>
      </c>
      <c r="JM14" s="1539">
        <f>'Федеральные  средства  по  МО'!BM15</f>
        <v>0</v>
      </c>
      <c r="JN14" s="1538">
        <f>'План и исполнение'!NX16</f>
        <v>0</v>
      </c>
      <c r="JO14" s="1537">
        <f>'План и исполнение'!OZ16</f>
        <v>0</v>
      </c>
      <c r="JP14" s="1576">
        <f>'План и исполнение'!PN16</f>
        <v>0</v>
      </c>
    </row>
    <row r="15" spans="1:276" ht="25.5" customHeight="1" x14ac:dyDescent="0.3">
      <c r="A15" s="102" t="s">
        <v>84</v>
      </c>
      <c r="B15" s="277">
        <f t="shared" si="17"/>
        <v>26859597.789999999</v>
      </c>
      <c r="C15" s="1422">
        <f t="shared" si="0"/>
        <v>24484429.379999999</v>
      </c>
      <c r="D15" s="1422">
        <f t="shared" si="1"/>
        <v>2375168.41</v>
      </c>
      <c r="E15" s="1422">
        <f t="shared" si="18"/>
        <v>0</v>
      </c>
      <c r="F15" s="277">
        <f t="shared" si="19"/>
        <v>10864051.01</v>
      </c>
      <c r="G15" s="1422">
        <f t="shared" si="20"/>
        <v>9996648.7699999996</v>
      </c>
      <c r="H15" s="1422">
        <f t="shared" si="21"/>
        <v>867402.23999999999</v>
      </c>
      <c r="I15" s="1422">
        <f t="shared" si="22"/>
        <v>0</v>
      </c>
      <c r="J15" s="105"/>
      <c r="K15" s="1421">
        <f>M15-'Федеральные  средства  по  МО'!D16</f>
        <v>0</v>
      </c>
      <c r="L15" s="1421">
        <f>Q15-'Федеральные  средства  по  МО'!E16</f>
        <v>0</v>
      </c>
      <c r="M15" s="277">
        <f t="shared" si="23"/>
        <v>26859597.789999999</v>
      </c>
      <c r="N15" s="1422">
        <f t="shared" si="24"/>
        <v>24484429.379999999</v>
      </c>
      <c r="O15" s="1422">
        <f t="shared" si="25"/>
        <v>2375168.41</v>
      </c>
      <c r="P15" s="1422">
        <f t="shared" si="26"/>
        <v>0</v>
      </c>
      <c r="Q15" s="277">
        <f t="shared" si="27"/>
        <v>10864051.01</v>
      </c>
      <c r="R15" s="1422">
        <f t="shared" si="28"/>
        <v>9996648.7699999996</v>
      </c>
      <c r="S15" s="1422">
        <f t="shared" si="29"/>
        <v>867402.23999999999</v>
      </c>
      <c r="T15" s="1422">
        <f t="shared" si="30"/>
        <v>0</v>
      </c>
      <c r="U15" s="103">
        <f>'Федеральные  средства  по  МО'!F16</f>
        <v>0</v>
      </c>
      <c r="V15" s="1424">
        <f t="shared" si="31"/>
        <v>0</v>
      </c>
      <c r="W15" s="1426"/>
      <c r="X15" s="1424"/>
      <c r="Y15" s="101">
        <f>'Федеральные  средства  по  МО'!G16</f>
        <v>0</v>
      </c>
      <c r="Z15" s="1426">
        <f t="shared" si="32"/>
        <v>0</v>
      </c>
      <c r="AA15" s="1424"/>
      <c r="AB15" s="1425"/>
      <c r="AC15" s="104">
        <f>'Федеральные  средства  по  МО'!H16</f>
        <v>0</v>
      </c>
      <c r="AD15" s="1424">
        <f>'План и исполнение'!CQ17</f>
        <v>0</v>
      </c>
      <c r="AE15" s="1426">
        <f>'План и исполнение'!CU17</f>
        <v>0</v>
      </c>
      <c r="AF15" s="1424">
        <f>'План и исполнение'!CW17</f>
        <v>0</v>
      </c>
      <c r="AG15" s="100">
        <f>'Федеральные  средства  по  МО'!I16</f>
        <v>0</v>
      </c>
      <c r="AH15" s="1426">
        <f>'План и исполнение'!CR17</f>
        <v>0</v>
      </c>
      <c r="AI15" s="1424">
        <f>'План и исполнение'!CV17</f>
        <v>0</v>
      </c>
      <c r="AJ15" s="1426">
        <f>'План и исполнение'!CX17</f>
        <v>0</v>
      </c>
      <c r="AK15" s="101">
        <f>'Федеральные  средства  по  МО'!J16</f>
        <v>0</v>
      </c>
      <c r="AL15" s="1425"/>
      <c r="AM15" s="1426"/>
      <c r="AN15" s="1423"/>
      <c r="AO15" s="101">
        <f>'Федеральные  средства  по  МО'!K16</f>
        <v>0</v>
      </c>
      <c r="AP15" s="1426"/>
      <c r="AQ15" s="1424"/>
      <c r="AR15" s="1426"/>
      <c r="AS15" s="103">
        <f>'Федеральные  средства  по  МО'!L16</f>
        <v>0</v>
      </c>
      <c r="AT15" s="1424">
        <f t="shared" si="3"/>
        <v>0</v>
      </c>
      <c r="AU15" s="1424"/>
      <c r="AV15" s="1426"/>
      <c r="AW15" s="101">
        <f>'Федеральные  средства  по  МО'!M16</f>
        <v>0</v>
      </c>
      <c r="AX15" s="1424">
        <f t="shared" si="4"/>
        <v>0</v>
      </c>
      <c r="AY15" s="1426"/>
      <c r="AZ15" s="1424"/>
      <c r="BA15" s="104">
        <f>'Федеральные  средства  по  МО'!N16</f>
        <v>0</v>
      </c>
      <c r="BB15" s="1424">
        <f t="shared" si="5"/>
        <v>0</v>
      </c>
      <c r="BC15" s="1426"/>
      <c r="BD15" s="1424"/>
      <c r="BE15" s="104">
        <f>'Федеральные  средства  по  МО'!O16</f>
        <v>0</v>
      </c>
      <c r="BF15" s="1424">
        <f t="shared" si="6"/>
        <v>0</v>
      </c>
      <c r="BG15" s="1424"/>
      <c r="BH15" s="1426"/>
      <c r="BI15" s="1528">
        <f>'Федеральные  средства  по  МО'!P16</f>
        <v>0</v>
      </c>
      <c r="BJ15" s="1424">
        <f t="shared" si="7"/>
        <v>0</v>
      </c>
      <c r="BK15" s="1424"/>
      <c r="BL15" s="1425"/>
      <c r="BM15" s="100">
        <f>'Федеральные  средства  по  МО'!Q16</f>
        <v>0</v>
      </c>
      <c r="BN15" s="1424">
        <f t="shared" si="8"/>
        <v>0</v>
      </c>
      <c r="BO15" s="1424"/>
      <c r="BP15" s="1426"/>
      <c r="BQ15" s="101">
        <f>'Федеральные  средства  по  МО'!R16</f>
        <v>0</v>
      </c>
      <c r="BR15" s="1424">
        <f t="shared" si="9"/>
        <v>0</v>
      </c>
      <c r="BS15" s="1424"/>
      <c r="BT15" s="1425"/>
      <c r="BU15" s="104">
        <f>'Федеральные  средства  по  МО'!S16</f>
        <v>0</v>
      </c>
      <c r="BV15" s="1424">
        <f t="shared" si="10"/>
        <v>0</v>
      </c>
      <c r="BW15" s="1424"/>
      <c r="BX15" s="1426"/>
      <c r="BY15" s="103">
        <f>'Федеральные  средства  по  МО'!T16</f>
        <v>0</v>
      </c>
      <c r="BZ15" s="1424">
        <f t="shared" si="11"/>
        <v>0</v>
      </c>
      <c r="CA15" s="1426"/>
      <c r="CB15" s="1424"/>
      <c r="CC15" s="100">
        <f>'Федеральные  средства  по  МО'!U16</f>
        <v>0</v>
      </c>
      <c r="CD15" s="1424">
        <f t="shared" si="12"/>
        <v>0</v>
      </c>
      <c r="CE15" s="1424"/>
      <c r="CF15" s="1426"/>
      <c r="CG15" s="103">
        <f>'Федеральные  средства  по  МО'!V16</f>
        <v>0</v>
      </c>
      <c r="CH15" s="1424"/>
      <c r="CI15" s="1426"/>
      <c r="CJ15" s="1424"/>
      <c r="CK15" s="100">
        <f>'Федеральные  средства  по  МО'!W16</f>
        <v>0</v>
      </c>
      <c r="CL15" s="1426"/>
      <c r="CM15" s="1424"/>
      <c r="CN15" s="1426"/>
      <c r="CO15" s="103">
        <f>'Федеральные  средства  по  МО'!X16</f>
        <v>0</v>
      </c>
      <c r="CP15" s="1424">
        <f t="shared" si="13"/>
        <v>0</v>
      </c>
      <c r="CQ15" s="1426"/>
      <c r="CR15" s="1424"/>
      <c r="CS15" s="100">
        <f>'Федеральные  средства  по  МО'!Y16</f>
        <v>0</v>
      </c>
      <c r="CT15" s="1424">
        <f t="shared" si="33"/>
        <v>0</v>
      </c>
      <c r="CU15" s="1424"/>
      <c r="CV15" s="1426"/>
      <c r="CW15" s="103">
        <f>'Федеральные  средства  по  МО'!Z16</f>
        <v>0</v>
      </c>
      <c r="CX15" s="1424"/>
      <c r="CY15" s="1424"/>
      <c r="CZ15" s="1426"/>
      <c r="DA15" s="101">
        <f>'Федеральные  средства  по  МО'!AA16</f>
        <v>0</v>
      </c>
      <c r="DB15" s="1426"/>
      <c r="DC15" s="1424"/>
      <c r="DD15" s="1426"/>
      <c r="DE15" s="103">
        <f>'Федеральные  средства  по  МО'!AB16</f>
        <v>0</v>
      </c>
      <c r="DF15" s="1424"/>
      <c r="DG15" s="1426"/>
      <c r="DH15" s="1424"/>
      <c r="DI15" s="100">
        <f>'Федеральные  средства  по  МО'!AC16</f>
        <v>0</v>
      </c>
      <c r="DJ15" s="1426"/>
      <c r="DK15" s="1424"/>
      <c r="DL15" s="1426"/>
      <c r="DM15" s="103">
        <f>'Федеральные  средства  по  МО'!AD16</f>
        <v>0</v>
      </c>
      <c r="DN15" s="1424">
        <f t="shared" si="14"/>
        <v>0</v>
      </c>
      <c r="DO15" s="1426"/>
      <c r="DP15" s="1424"/>
      <c r="DQ15" s="100">
        <f>'Федеральные  средства  по  МО'!AE16</f>
        <v>0</v>
      </c>
      <c r="DR15" s="1424">
        <f t="shared" si="15"/>
        <v>0</v>
      </c>
      <c r="DS15" s="1424"/>
      <c r="DT15" s="1426"/>
      <c r="DU15" s="103">
        <f>'Федеральные  средства  по  МО'!AF16</f>
        <v>646784.37999999989</v>
      </c>
      <c r="DV15" s="1424">
        <f>'План и исполнение'!GK17</f>
        <v>0</v>
      </c>
      <c r="DW15" s="1424">
        <f>'План и исполнение'!HE17</f>
        <v>646784.37999999989</v>
      </c>
      <c r="DX15" s="1426">
        <f>'План и исполнение'!HO17</f>
        <v>0</v>
      </c>
      <c r="DY15" s="101">
        <f>'Федеральные  средства  по  МО'!AG16</f>
        <v>184382.62</v>
      </c>
      <c r="DZ15" s="1426">
        <f>'План и исполнение'!GP17</f>
        <v>0</v>
      </c>
      <c r="EA15" s="1424">
        <f>'План и исполнение'!HJ17</f>
        <v>184382.62</v>
      </c>
      <c r="EB15" s="1426">
        <f>'План и исполнение'!HT17</f>
        <v>0</v>
      </c>
      <c r="EC15" s="103">
        <f>'Федеральные  средства  по  МО'!AH16</f>
        <v>0</v>
      </c>
      <c r="ED15" s="1424"/>
      <c r="EE15" s="1426"/>
      <c r="EF15" s="1424"/>
      <c r="EG15" s="100">
        <f>'Федеральные  средства  по  МО'!AI16</f>
        <v>0</v>
      </c>
      <c r="EH15" s="1426"/>
      <c r="EI15" s="1424"/>
      <c r="EJ15" s="1426"/>
      <c r="EK15" s="103">
        <f>'Федеральные  средства  по  МО'!AJ16</f>
        <v>0</v>
      </c>
      <c r="EL15" s="1424">
        <f t="shared" si="34"/>
        <v>0</v>
      </c>
      <c r="EM15" s="1426"/>
      <c r="EN15" s="1424"/>
      <c r="EO15" s="100">
        <f>'Федеральные  средства  по  МО'!AK16</f>
        <v>0</v>
      </c>
      <c r="EP15" s="1424">
        <f t="shared" si="35"/>
        <v>0</v>
      </c>
      <c r="EQ15" s="1424"/>
      <c r="ER15" s="1426"/>
      <c r="ES15" s="103">
        <f>'Федеральные  средства  по  МО'!AL16</f>
        <v>0</v>
      </c>
      <c r="ET15" s="1424">
        <f t="shared" si="36"/>
        <v>0</v>
      </c>
      <c r="EU15" s="1426"/>
      <c r="EV15" s="1424"/>
      <c r="EW15" s="100">
        <f>'Федеральные  средства  по  МО'!AM16</f>
        <v>0</v>
      </c>
      <c r="EX15" s="1425">
        <f t="shared" si="37"/>
        <v>0</v>
      </c>
      <c r="EY15" s="1424"/>
      <c r="EZ15" s="1426"/>
      <c r="FA15" s="103">
        <f>'Федеральные  средства  по  МО'!AN16</f>
        <v>0</v>
      </c>
      <c r="FB15" s="1424"/>
      <c r="FC15" s="1426"/>
      <c r="FD15" s="1424"/>
      <c r="FE15" s="100">
        <f>'Федеральные  средства  по  МО'!AO16</f>
        <v>0</v>
      </c>
      <c r="FF15" s="1426"/>
      <c r="FG15" s="1424"/>
      <c r="FH15" s="1426"/>
      <c r="FI15" s="103">
        <f>'Федеральные  средства  по  МО'!AP16</f>
        <v>955749</v>
      </c>
      <c r="FJ15" s="1424">
        <f>'План и исполнение'!IO17</f>
        <v>272729.38</v>
      </c>
      <c r="FK15" s="1426">
        <f>'План и исполнение'!JA17</f>
        <v>683019.62</v>
      </c>
      <c r="FL15" s="1424">
        <f>'План и исполнение'!JG17</f>
        <v>0</v>
      </c>
      <c r="FM15" s="100">
        <f>'Федеральные  средства  по  МО'!AQ16</f>
        <v>683019.62</v>
      </c>
      <c r="FN15" s="1426">
        <f>'План и исполнение'!IR17</f>
        <v>0</v>
      </c>
      <c r="FO15" s="1424">
        <f>'План и исполнение'!JD17</f>
        <v>683019.62</v>
      </c>
      <c r="FP15" s="1426">
        <f>'План и исполнение'!JJ17</f>
        <v>0</v>
      </c>
      <c r="FQ15" s="103">
        <f>'Федеральные  средства  по  МО'!AR16</f>
        <v>24211700</v>
      </c>
      <c r="FR15" s="1424">
        <f t="shared" si="38"/>
        <v>24211700</v>
      </c>
      <c r="FS15" s="1426"/>
      <c r="FT15" s="1424"/>
      <c r="FU15" s="100">
        <f>'Федеральные  средства  по  МО'!AS16</f>
        <v>9996648.7699999996</v>
      </c>
      <c r="FV15" s="1424">
        <f t="shared" si="39"/>
        <v>9996648.7699999996</v>
      </c>
      <c r="FW15" s="1424"/>
      <c r="FX15" s="1426"/>
      <c r="FY15" s="103">
        <f>'Федеральные  средства  по  МО'!AT16</f>
        <v>0</v>
      </c>
      <c r="FZ15" s="1424">
        <f>'План и исполнение'!JU17</f>
        <v>0</v>
      </c>
      <c r="GA15" s="1426">
        <f>'План и исполнение'!KO17</f>
        <v>0</v>
      </c>
      <c r="GB15" s="1424">
        <f>'План и исполнение'!KY17</f>
        <v>0</v>
      </c>
      <c r="GC15" s="100">
        <f>'Федеральные  средства  по  МО'!AU16</f>
        <v>0</v>
      </c>
      <c r="GD15" s="1426">
        <f>'План и исполнение'!JZ17</f>
        <v>0</v>
      </c>
      <c r="GE15" s="1424">
        <f>'План и исполнение'!KT17</f>
        <v>0</v>
      </c>
      <c r="GF15" s="1426">
        <f>'План и исполнение'!LD17</f>
        <v>0</v>
      </c>
      <c r="GG15" s="103">
        <f>'Федеральные  средства  по  МО'!AV16</f>
        <v>0</v>
      </c>
      <c r="GH15" s="1424"/>
      <c r="GI15" s="1426">
        <f>'План и исполнение'!KM17</f>
        <v>0</v>
      </c>
      <c r="GJ15" s="1424">
        <f>'План и исполнение'!KW17</f>
        <v>0</v>
      </c>
      <c r="GK15" s="100">
        <f>'Федеральные  средства  по  МО'!AW16</f>
        <v>0</v>
      </c>
      <c r="GL15" s="1426"/>
      <c r="GM15" s="1424">
        <f>'План и исполнение'!KR17</f>
        <v>0</v>
      </c>
      <c r="GN15" s="1426">
        <f>'План и исполнение'!LB17</f>
        <v>0</v>
      </c>
      <c r="GO15" s="103">
        <f>'Федеральные  средства  по  МО'!AX16</f>
        <v>0</v>
      </c>
      <c r="GP15" s="1424">
        <f t="shared" si="40"/>
        <v>0</v>
      </c>
      <c r="GQ15" s="1426"/>
      <c r="GR15" s="1424"/>
      <c r="GS15" s="104">
        <f>'Федеральные  средства  по  МО'!AY16</f>
        <v>0</v>
      </c>
      <c r="GT15" s="1424">
        <f t="shared" si="16"/>
        <v>0</v>
      </c>
      <c r="GU15" s="1426"/>
      <c r="GV15" s="1424"/>
      <c r="GW15" s="104">
        <f>'Федеральные  средства  по  МО'!AZ16</f>
        <v>0</v>
      </c>
      <c r="GX15" s="1424"/>
      <c r="GY15" s="1426"/>
      <c r="GZ15" s="1424"/>
      <c r="HA15" s="100">
        <f>'Федеральные  средства  по  МО'!BA16</f>
        <v>0</v>
      </c>
      <c r="HB15" s="1426"/>
      <c r="HC15" s="1424"/>
      <c r="HD15" s="1426"/>
      <c r="HE15" s="103">
        <f>'Федеральные  средства  по  МО'!BB16</f>
        <v>0</v>
      </c>
      <c r="HF15" s="1424"/>
      <c r="HG15" s="1426"/>
      <c r="HH15" s="1424"/>
      <c r="HI15" s="104">
        <f>'Федеральные  средства  по  МО'!BC16</f>
        <v>0</v>
      </c>
      <c r="HJ15" s="1424"/>
      <c r="HK15" s="1426"/>
      <c r="HL15" s="1424"/>
      <c r="HM15" s="104">
        <f>'Федеральные  средства  по  МО'!BD16</f>
        <v>0</v>
      </c>
      <c r="HN15" s="1424"/>
      <c r="HO15" s="1426"/>
      <c r="HP15" s="1424"/>
      <c r="HQ15" s="100">
        <f>'Федеральные  средства  по  МО'!BE16</f>
        <v>0</v>
      </c>
      <c r="HR15" s="1426"/>
      <c r="HS15" s="1424"/>
      <c r="HT15" s="1426"/>
      <c r="HU15" s="103">
        <f>'Федеральные  средства  по  МО'!BF16</f>
        <v>0</v>
      </c>
      <c r="HV15" s="1424"/>
      <c r="HW15" s="1426"/>
      <c r="HX15" s="1424">
        <f>'План и исполнение'!NM17</f>
        <v>0</v>
      </c>
      <c r="HY15" s="100">
        <f>'Федеральные  средства  по  МО'!BG16</f>
        <v>0</v>
      </c>
      <c r="HZ15" s="1426"/>
      <c r="IA15" s="1424"/>
      <c r="IB15" s="1426">
        <f>'План и исполнение'!NQ17</f>
        <v>0</v>
      </c>
      <c r="IC15" s="103">
        <f>'Федеральные  средства  по  МО'!BJ16</f>
        <v>1045364.4099999999</v>
      </c>
      <c r="ID15" s="1424"/>
      <c r="IE15" s="1426">
        <f>'План и исполнение'!OQ17</f>
        <v>1045364.4099999999</v>
      </c>
      <c r="IF15" s="1424">
        <f>'План и исполнение'!PE17</f>
        <v>0</v>
      </c>
      <c r="IG15" s="100">
        <f>'Федеральные  средства  по  МО'!BK16</f>
        <v>0</v>
      </c>
      <c r="IH15" s="1426"/>
      <c r="II15" s="1424">
        <f>'План и исполнение'!OX17</f>
        <v>0</v>
      </c>
      <c r="IJ15" s="1426">
        <f>'План и исполнение'!PL17</f>
        <v>0</v>
      </c>
      <c r="IK15" s="103">
        <f>'Федеральные  средства  по  МО'!BN16</f>
        <v>0</v>
      </c>
      <c r="IL15" s="1424"/>
      <c r="IM15" s="1426"/>
      <c r="IN15" s="1424"/>
      <c r="IO15" s="100">
        <f>'Федеральные  средства  по  МО'!BO16</f>
        <v>0</v>
      </c>
      <c r="IP15" s="1426"/>
      <c r="IQ15" s="1424"/>
      <c r="IR15" s="1426"/>
      <c r="IS15" s="103">
        <f>'Федеральные  средства  по  МО'!BH16</f>
        <v>0</v>
      </c>
      <c r="IT15" s="1424"/>
      <c r="IU15" s="1426">
        <f>'План и исполнение'!OO17</f>
        <v>0</v>
      </c>
      <c r="IV15" s="1424">
        <f>'План и исполнение'!PC17</f>
        <v>0</v>
      </c>
      <c r="IW15" s="100">
        <f>'Федеральные  средства  по  МО'!BI16</f>
        <v>0</v>
      </c>
      <c r="IX15" s="1426"/>
      <c r="IY15" s="1424">
        <f>'План и исполнение'!OV17</f>
        <v>0</v>
      </c>
      <c r="IZ15" s="1426">
        <f>'План и исполнение'!PJ17</f>
        <v>0</v>
      </c>
      <c r="JA15" s="103">
        <f>'Федеральные  средства  по  МО'!BP16</f>
        <v>0</v>
      </c>
      <c r="JB15" s="1424">
        <f>'План и исполнение'!PW17</f>
        <v>0</v>
      </c>
      <c r="JC15" s="1426">
        <f>'План и исполнение'!QI17</f>
        <v>0</v>
      </c>
      <c r="JD15" s="1424">
        <f>'План и исполнение'!QO17</f>
        <v>0</v>
      </c>
      <c r="JE15" s="100">
        <f>'Федеральные  средства  по  МО'!BQ16</f>
        <v>0</v>
      </c>
      <c r="JF15" s="1426">
        <f>'План и исполнение'!PZ17</f>
        <v>0</v>
      </c>
      <c r="JG15" s="1424">
        <f>'План и исполнение'!QL17</f>
        <v>0</v>
      </c>
      <c r="JH15" s="1426">
        <f>'План и исполнение'!QR17</f>
        <v>0</v>
      </c>
      <c r="JI15" s="103">
        <f>'Федеральные  средства  по  МО'!BL16</f>
        <v>0</v>
      </c>
      <c r="JJ15" s="1424">
        <f>'План и исполнение'!NU17</f>
        <v>0</v>
      </c>
      <c r="JK15" s="1426">
        <f>'План и исполнение'!OS17</f>
        <v>0</v>
      </c>
      <c r="JL15" s="1424">
        <f>'План и исполнение'!PG17</f>
        <v>0</v>
      </c>
      <c r="JM15" s="100">
        <f>'Федеральные  средства  по  МО'!BM16</f>
        <v>0</v>
      </c>
      <c r="JN15" s="1426">
        <f>'План и исполнение'!NX17</f>
        <v>0</v>
      </c>
      <c r="JO15" s="1424">
        <f>'План и исполнение'!OZ17</f>
        <v>0</v>
      </c>
      <c r="JP15" s="1425">
        <f>'План и исполнение'!PN17</f>
        <v>0</v>
      </c>
    </row>
    <row r="16" spans="1:276" ht="25.5" customHeight="1" x14ac:dyDescent="0.3">
      <c r="A16" s="105" t="s">
        <v>85</v>
      </c>
      <c r="B16" s="277">
        <f t="shared" si="17"/>
        <v>30823518.009999998</v>
      </c>
      <c r="C16" s="1422">
        <f t="shared" si="0"/>
        <v>20223392.149999999</v>
      </c>
      <c r="D16" s="1422">
        <f t="shared" si="1"/>
        <v>10600125.859999999</v>
      </c>
      <c r="E16" s="1422">
        <f t="shared" si="18"/>
        <v>0</v>
      </c>
      <c r="F16" s="277">
        <f t="shared" si="19"/>
        <v>4305255.83</v>
      </c>
      <c r="G16" s="1422">
        <f t="shared" si="20"/>
        <v>2477923.6400000006</v>
      </c>
      <c r="H16" s="1422">
        <f t="shared" si="21"/>
        <v>1827332.19</v>
      </c>
      <c r="I16" s="1422">
        <f t="shared" si="22"/>
        <v>0</v>
      </c>
      <c r="J16" s="105"/>
      <c r="K16" s="1421">
        <f>M16-'Федеральные  средства  по  МО'!D17</f>
        <v>0</v>
      </c>
      <c r="L16" s="1421">
        <f>Q16-'Федеральные  средства  по  МО'!E17</f>
        <v>0</v>
      </c>
      <c r="M16" s="277">
        <f t="shared" si="23"/>
        <v>65867292.019999996</v>
      </c>
      <c r="N16" s="1422">
        <f t="shared" si="24"/>
        <v>55267166.159999996</v>
      </c>
      <c r="O16" s="1422">
        <f t="shared" si="25"/>
        <v>10600125.859999999</v>
      </c>
      <c r="P16" s="1422">
        <f t="shared" si="26"/>
        <v>0</v>
      </c>
      <c r="Q16" s="277">
        <f t="shared" si="27"/>
        <v>16297828.960000001</v>
      </c>
      <c r="R16" s="1422">
        <f t="shared" si="28"/>
        <v>14470496.77</v>
      </c>
      <c r="S16" s="1422">
        <f t="shared" si="29"/>
        <v>1827332.19</v>
      </c>
      <c r="T16" s="1422">
        <f t="shared" si="30"/>
        <v>0</v>
      </c>
      <c r="U16" s="103">
        <f>'Федеральные  средства  по  МО'!F17</f>
        <v>0</v>
      </c>
      <c r="V16" s="1424">
        <f t="shared" si="31"/>
        <v>0</v>
      </c>
      <c r="W16" s="1426"/>
      <c r="X16" s="1424"/>
      <c r="Y16" s="101">
        <f>'Федеральные  средства  по  МО'!G17</f>
        <v>0</v>
      </c>
      <c r="Z16" s="1426">
        <f t="shared" si="32"/>
        <v>0</v>
      </c>
      <c r="AA16" s="1424"/>
      <c r="AB16" s="1425"/>
      <c r="AC16" s="1546">
        <f>'Федеральные  средства  по  МО'!H17</f>
        <v>35043774.009999998</v>
      </c>
      <c r="AD16" s="1537">
        <f>'План и исполнение'!CQ18</f>
        <v>35043774.009999998</v>
      </c>
      <c r="AE16" s="1538">
        <f>'План и исполнение'!CU18</f>
        <v>0</v>
      </c>
      <c r="AF16" s="1537">
        <f>'План и исполнение'!CW18</f>
        <v>0</v>
      </c>
      <c r="AG16" s="1539">
        <f>'Федеральные  средства  по  МО'!I17</f>
        <v>11992573.129999999</v>
      </c>
      <c r="AH16" s="1538">
        <f>'План и исполнение'!CR18</f>
        <v>11992573.129999999</v>
      </c>
      <c r="AI16" s="1537">
        <f>'План и исполнение'!CV18</f>
        <v>0</v>
      </c>
      <c r="AJ16" s="1538">
        <f>'План и исполнение'!CX18</f>
        <v>0</v>
      </c>
      <c r="AK16" s="1575">
        <f>'Федеральные  средства  по  МО'!J17</f>
        <v>0</v>
      </c>
      <c r="AL16" s="1576"/>
      <c r="AM16" s="1538"/>
      <c r="AN16" s="1577"/>
      <c r="AO16" s="1575">
        <f>'Федеральные  средства  по  МО'!K17</f>
        <v>0</v>
      </c>
      <c r="AP16" s="1538"/>
      <c r="AQ16" s="1537"/>
      <c r="AR16" s="1538"/>
      <c r="AS16" s="1529">
        <f>'Федеральные  средства  по  МО'!L17</f>
        <v>0</v>
      </c>
      <c r="AT16" s="1537">
        <f t="shared" si="3"/>
        <v>0</v>
      </c>
      <c r="AU16" s="1537"/>
      <c r="AV16" s="1538"/>
      <c r="AW16" s="1575">
        <f>'Федеральные  средства  по  МО'!M17</f>
        <v>0</v>
      </c>
      <c r="AX16" s="1537">
        <f t="shared" si="4"/>
        <v>0</v>
      </c>
      <c r="AY16" s="1538"/>
      <c r="AZ16" s="1537"/>
      <c r="BA16" s="1546">
        <f>'Федеральные  средства  по  МО'!N17</f>
        <v>0</v>
      </c>
      <c r="BB16" s="1537">
        <f t="shared" si="5"/>
        <v>0</v>
      </c>
      <c r="BC16" s="1538"/>
      <c r="BD16" s="1537"/>
      <c r="BE16" s="1546">
        <f>'Федеральные  средства  по  МО'!O17</f>
        <v>0</v>
      </c>
      <c r="BF16" s="1537">
        <f t="shared" si="6"/>
        <v>0</v>
      </c>
      <c r="BG16" s="1537"/>
      <c r="BH16" s="1538"/>
      <c r="BI16" s="1578">
        <f>'Федеральные  средства  по  МО'!P17</f>
        <v>0</v>
      </c>
      <c r="BJ16" s="1537">
        <f t="shared" si="7"/>
        <v>0</v>
      </c>
      <c r="BK16" s="1537"/>
      <c r="BL16" s="1576"/>
      <c r="BM16" s="1539">
        <f>'Федеральные  средства  по  МО'!Q17</f>
        <v>0</v>
      </c>
      <c r="BN16" s="1537">
        <f t="shared" si="8"/>
        <v>0</v>
      </c>
      <c r="BO16" s="1537"/>
      <c r="BP16" s="1538"/>
      <c r="BQ16" s="1575">
        <f>'Федеральные  средства  по  МО'!R17</f>
        <v>2859675</v>
      </c>
      <c r="BR16" s="1537">
        <f t="shared" si="9"/>
        <v>2859675</v>
      </c>
      <c r="BS16" s="1537"/>
      <c r="BT16" s="1576"/>
      <c r="BU16" s="1546">
        <f>'Федеральные  средства  по  МО'!S17</f>
        <v>1839220.21</v>
      </c>
      <c r="BV16" s="1537">
        <f t="shared" si="10"/>
        <v>1839220.21</v>
      </c>
      <c r="BW16" s="1537"/>
      <c r="BX16" s="1538"/>
      <c r="BY16" s="1529">
        <f>'Федеральные  средства  по  МО'!T17</f>
        <v>0</v>
      </c>
      <c r="BZ16" s="1537">
        <f t="shared" si="11"/>
        <v>0</v>
      </c>
      <c r="CA16" s="1538"/>
      <c r="CB16" s="1537"/>
      <c r="CC16" s="1539">
        <f>'Федеральные  средства  по  МО'!U17</f>
        <v>0</v>
      </c>
      <c r="CD16" s="1537">
        <f t="shared" si="12"/>
        <v>0</v>
      </c>
      <c r="CE16" s="1537"/>
      <c r="CF16" s="1538"/>
      <c r="CG16" s="1529">
        <f>'Федеральные  средства  по  МО'!V17</f>
        <v>0</v>
      </c>
      <c r="CH16" s="1537"/>
      <c r="CI16" s="1538"/>
      <c r="CJ16" s="1537"/>
      <c r="CK16" s="1539">
        <f>'Федеральные  средства  по  МО'!W17</f>
        <v>0</v>
      </c>
      <c r="CL16" s="1538"/>
      <c r="CM16" s="1537"/>
      <c r="CN16" s="1538"/>
      <c r="CO16" s="1529">
        <f>'Федеральные  средства  по  МО'!X17</f>
        <v>0</v>
      </c>
      <c r="CP16" s="1537">
        <f t="shared" si="13"/>
        <v>0</v>
      </c>
      <c r="CQ16" s="1538"/>
      <c r="CR16" s="1537"/>
      <c r="CS16" s="1539">
        <f>'Федеральные  средства  по  МО'!Y17</f>
        <v>0</v>
      </c>
      <c r="CT16" s="1537">
        <f t="shared" si="33"/>
        <v>0</v>
      </c>
      <c r="CU16" s="1537"/>
      <c r="CV16" s="1538"/>
      <c r="CW16" s="1529">
        <f>'Федеральные  средства  по  МО'!Z17</f>
        <v>0</v>
      </c>
      <c r="CX16" s="1537"/>
      <c r="CY16" s="1537"/>
      <c r="CZ16" s="1538"/>
      <c r="DA16" s="1575">
        <f>'Федеральные  средства  по  МО'!AA17</f>
        <v>0</v>
      </c>
      <c r="DB16" s="1538"/>
      <c r="DC16" s="1537"/>
      <c r="DD16" s="1538"/>
      <c r="DE16" s="1529">
        <f>'Федеральные  средства  по  МО'!AB17</f>
        <v>0</v>
      </c>
      <c r="DF16" s="1537"/>
      <c r="DG16" s="1538"/>
      <c r="DH16" s="1537"/>
      <c r="DI16" s="1539">
        <f>'Федеральные  средства  по  МО'!AC17</f>
        <v>0</v>
      </c>
      <c r="DJ16" s="1538"/>
      <c r="DK16" s="1537"/>
      <c r="DL16" s="1538"/>
      <c r="DM16" s="1529">
        <f>'Федеральные  средства  по  МО'!AD17</f>
        <v>16640800</v>
      </c>
      <c r="DN16" s="1537">
        <f t="shared" si="14"/>
        <v>16640800</v>
      </c>
      <c r="DO16" s="1538"/>
      <c r="DP16" s="1537"/>
      <c r="DQ16" s="1539">
        <f>'Федеральные  средства  по  МО'!AE17</f>
        <v>0</v>
      </c>
      <c r="DR16" s="1537">
        <f t="shared" si="15"/>
        <v>0</v>
      </c>
      <c r="DS16" s="1537"/>
      <c r="DT16" s="1538"/>
      <c r="DU16" s="1529">
        <f>'Федеральные  средства  по  МО'!AF17</f>
        <v>942275.44</v>
      </c>
      <c r="DV16" s="1537">
        <f>'План и исполнение'!GK18</f>
        <v>0</v>
      </c>
      <c r="DW16" s="1537">
        <f>'План и исполнение'!HE18</f>
        <v>942275.44</v>
      </c>
      <c r="DX16" s="1538">
        <f>'План и исполнение'!HO18</f>
        <v>0</v>
      </c>
      <c r="DY16" s="1575">
        <f>'Федеральные  средства  по  МО'!AG17</f>
        <v>459213.81</v>
      </c>
      <c r="DZ16" s="1538">
        <f>'План и исполнение'!GP18</f>
        <v>0</v>
      </c>
      <c r="EA16" s="1537">
        <f>'План и исполнение'!HJ18</f>
        <v>459213.81</v>
      </c>
      <c r="EB16" s="1538">
        <f>'План и исполнение'!HT18</f>
        <v>0</v>
      </c>
      <c r="EC16" s="1529">
        <f>'Федеральные  средства  по  МО'!AH17</f>
        <v>0</v>
      </c>
      <c r="ED16" s="1537"/>
      <c r="EE16" s="1538"/>
      <c r="EF16" s="1537"/>
      <c r="EG16" s="1539">
        <f>'Федеральные  средства  по  МО'!AI17</f>
        <v>0</v>
      </c>
      <c r="EH16" s="1538"/>
      <c r="EI16" s="1537"/>
      <c r="EJ16" s="1538"/>
      <c r="EK16" s="1529">
        <f>'Федеральные  средства  по  МО'!AJ17</f>
        <v>0</v>
      </c>
      <c r="EL16" s="1537">
        <f t="shared" si="34"/>
        <v>0</v>
      </c>
      <c r="EM16" s="1538"/>
      <c r="EN16" s="1537"/>
      <c r="EO16" s="1539">
        <f>'Федеральные  средства  по  МО'!AK17</f>
        <v>0</v>
      </c>
      <c r="EP16" s="1537">
        <f t="shared" si="35"/>
        <v>0</v>
      </c>
      <c r="EQ16" s="1537"/>
      <c r="ER16" s="1538"/>
      <c r="ES16" s="103">
        <f>'Федеральные  средства  по  МО'!AL17</f>
        <v>0</v>
      </c>
      <c r="ET16" s="1424">
        <f t="shared" si="36"/>
        <v>0</v>
      </c>
      <c r="EU16" s="1426"/>
      <c r="EV16" s="1424"/>
      <c r="EW16" s="100">
        <f>'Федеральные  средства  по  МО'!AM17</f>
        <v>0</v>
      </c>
      <c r="EX16" s="1576">
        <f t="shared" si="37"/>
        <v>0</v>
      </c>
      <c r="EY16" s="1537"/>
      <c r="EZ16" s="1538"/>
      <c r="FA16" s="1529">
        <f>'Федеральные  средства  по  МО'!AN17</f>
        <v>0</v>
      </c>
      <c r="FB16" s="1537"/>
      <c r="FC16" s="1538"/>
      <c r="FD16" s="1537"/>
      <c r="FE16" s="1539">
        <f>'Федеральные  средства  по  МО'!AO17</f>
        <v>0</v>
      </c>
      <c r="FF16" s="1538"/>
      <c r="FG16" s="1537"/>
      <c r="FH16" s="1538"/>
      <c r="FI16" s="1529">
        <f>'Федеральные  средства  по  МО'!AP17</f>
        <v>1746424.96</v>
      </c>
      <c r="FJ16" s="1537">
        <f>'План и исполнение'!IO18</f>
        <v>717708.89</v>
      </c>
      <c r="FK16" s="1538">
        <f>'План и исполнение'!JA18</f>
        <v>1028716.07</v>
      </c>
      <c r="FL16" s="1537">
        <f>'План и исполнение'!JG18</f>
        <v>0</v>
      </c>
      <c r="FM16" s="1539">
        <f>'Федеральные  средства  по  МО'!AQ17</f>
        <v>1307368.6600000001</v>
      </c>
      <c r="FN16" s="1538">
        <f>'План и исполнение'!IR18</f>
        <v>638703.43000000005</v>
      </c>
      <c r="FO16" s="1537">
        <f>'План и исполнение'!JD18</f>
        <v>668665.23</v>
      </c>
      <c r="FP16" s="1538">
        <f>'План и исполнение'!JJ18</f>
        <v>0</v>
      </c>
      <c r="FQ16" s="1529">
        <f>'Федеральные  средства  по  МО'!AR17</f>
        <v>0</v>
      </c>
      <c r="FR16" s="1537">
        <f t="shared" si="38"/>
        <v>0</v>
      </c>
      <c r="FS16" s="1538"/>
      <c r="FT16" s="1537"/>
      <c r="FU16" s="1539">
        <f>'Федеральные  средства  по  МО'!AS17</f>
        <v>0</v>
      </c>
      <c r="FV16" s="1537">
        <f t="shared" si="39"/>
        <v>0</v>
      </c>
      <c r="FW16" s="1537"/>
      <c r="FX16" s="1538"/>
      <c r="FY16" s="1529">
        <f>'Федеральные  средства  по  МО'!AT17</f>
        <v>5208.26</v>
      </c>
      <c r="FZ16" s="1537">
        <f>'План и исполнение'!JU18</f>
        <v>5208.26</v>
      </c>
      <c r="GA16" s="1538">
        <f>'План и исполнение'!KO18</f>
        <v>0</v>
      </c>
      <c r="GB16" s="1537">
        <f>'План и исполнение'!KY18</f>
        <v>0</v>
      </c>
      <c r="GC16" s="1539">
        <f>'Федеральные  средства  по  МО'!AU17</f>
        <v>0</v>
      </c>
      <c r="GD16" s="1538">
        <f>'План и исполнение'!JZ18</f>
        <v>0</v>
      </c>
      <c r="GE16" s="1537">
        <f>'План и исполнение'!KT18</f>
        <v>0</v>
      </c>
      <c r="GF16" s="1538">
        <f>'План и исполнение'!LD18</f>
        <v>0</v>
      </c>
      <c r="GG16" s="1529">
        <f>'Федеральные  средства  по  МО'!AV17</f>
        <v>0</v>
      </c>
      <c r="GH16" s="1537"/>
      <c r="GI16" s="1538">
        <f>'План и исполнение'!KM18</f>
        <v>0</v>
      </c>
      <c r="GJ16" s="1537">
        <f>'План и исполнение'!KW18</f>
        <v>0</v>
      </c>
      <c r="GK16" s="1539">
        <f>'Федеральные  средства  по  МО'!AW17</f>
        <v>0</v>
      </c>
      <c r="GL16" s="1538"/>
      <c r="GM16" s="1537">
        <f>'План и исполнение'!KR18</f>
        <v>0</v>
      </c>
      <c r="GN16" s="1538">
        <f>'План и исполнение'!LB18</f>
        <v>0</v>
      </c>
      <c r="GO16" s="1529">
        <f>'Федеральные  средства  по  МО'!AX17</f>
        <v>0</v>
      </c>
      <c r="GP16" s="1537">
        <f t="shared" si="40"/>
        <v>0</v>
      </c>
      <c r="GQ16" s="1538"/>
      <c r="GR16" s="1537"/>
      <c r="GS16" s="1546">
        <f>'Федеральные  средства  по  МО'!AY17</f>
        <v>0</v>
      </c>
      <c r="GT16" s="1537">
        <f t="shared" si="16"/>
        <v>0</v>
      </c>
      <c r="GU16" s="1538"/>
      <c r="GV16" s="1537"/>
      <c r="GW16" s="1546">
        <f>'Федеральные  средства  по  МО'!AZ17</f>
        <v>0</v>
      </c>
      <c r="GX16" s="1537"/>
      <c r="GY16" s="1538"/>
      <c r="GZ16" s="1537"/>
      <c r="HA16" s="1539">
        <f>'Федеральные  средства  по  МО'!BA17</f>
        <v>0</v>
      </c>
      <c r="HB16" s="1538"/>
      <c r="HC16" s="1537"/>
      <c r="HD16" s="1538"/>
      <c r="HE16" s="1529">
        <f>'Федеральные  средства  по  МО'!BB17</f>
        <v>0</v>
      </c>
      <c r="HF16" s="1537"/>
      <c r="HG16" s="1538"/>
      <c r="HH16" s="1537"/>
      <c r="HI16" s="1546">
        <f>'Федеральные  средства  по  МО'!BC17</f>
        <v>0</v>
      </c>
      <c r="HJ16" s="1537"/>
      <c r="HK16" s="1538"/>
      <c r="HL16" s="1537"/>
      <c r="HM16" s="1546">
        <f>'Федеральные  средства  по  МО'!BD17</f>
        <v>0</v>
      </c>
      <c r="HN16" s="1537"/>
      <c r="HO16" s="1538"/>
      <c r="HP16" s="1537"/>
      <c r="HQ16" s="1539">
        <f>'Федеральные  средства  по  МО'!BE17</f>
        <v>0</v>
      </c>
      <c r="HR16" s="1538"/>
      <c r="HS16" s="1537"/>
      <c r="HT16" s="1538"/>
      <c r="HU16" s="1529">
        <f>'Федеральные  средства  по  МО'!BF17</f>
        <v>0</v>
      </c>
      <c r="HV16" s="1537"/>
      <c r="HW16" s="1538"/>
      <c r="HX16" s="1537">
        <f>'План и исполнение'!NM18</f>
        <v>0</v>
      </c>
      <c r="HY16" s="1539">
        <f>'Федеральные  средства  по  МО'!BG17</f>
        <v>0</v>
      </c>
      <c r="HZ16" s="1538"/>
      <c r="IA16" s="1537"/>
      <c r="IB16" s="1538">
        <f>'План и исполнение'!NQ18</f>
        <v>0</v>
      </c>
      <c r="IC16" s="1529">
        <f>'Федеральные  средства  по  МО'!BJ17</f>
        <v>8629134.3499999996</v>
      </c>
      <c r="ID16" s="1537"/>
      <c r="IE16" s="1538">
        <f>'План и исполнение'!OQ18</f>
        <v>8629134.3499999996</v>
      </c>
      <c r="IF16" s="1537">
        <f>'План и исполнение'!PE18</f>
        <v>0</v>
      </c>
      <c r="IG16" s="1539">
        <f>'Федеральные  средства  по  МО'!BK17</f>
        <v>699453.15</v>
      </c>
      <c r="IH16" s="1538"/>
      <c r="II16" s="1537">
        <f>'План и исполнение'!OX18</f>
        <v>699453.15</v>
      </c>
      <c r="IJ16" s="1538">
        <f>'План и исполнение'!PL18</f>
        <v>0</v>
      </c>
      <c r="IK16" s="1529">
        <f>'Федеральные  средства  по  МО'!BN17</f>
        <v>0</v>
      </c>
      <c r="IL16" s="1537"/>
      <c r="IM16" s="1538"/>
      <c r="IN16" s="1537"/>
      <c r="IO16" s="1539">
        <f>'Федеральные  средства  по  МО'!BO17</f>
        <v>0</v>
      </c>
      <c r="IP16" s="1538"/>
      <c r="IQ16" s="1537"/>
      <c r="IR16" s="1538"/>
      <c r="IS16" s="1529">
        <f>'Федеральные  средства  по  МО'!BH17</f>
        <v>0</v>
      </c>
      <c r="IT16" s="1537"/>
      <c r="IU16" s="1538">
        <f>'План и исполнение'!OO18</f>
        <v>0</v>
      </c>
      <c r="IV16" s="1537">
        <f>'План и исполнение'!PC18</f>
        <v>0</v>
      </c>
      <c r="IW16" s="1539">
        <f>'Федеральные  средства  по  МО'!BI17</f>
        <v>0</v>
      </c>
      <c r="IX16" s="1538"/>
      <c r="IY16" s="1537">
        <f>'План и исполнение'!OV18</f>
        <v>0</v>
      </c>
      <c r="IZ16" s="1538">
        <f>'План и исполнение'!PJ18</f>
        <v>0</v>
      </c>
      <c r="JA16" s="1529">
        <f>'Федеральные  средства  по  МО'!BP17</f>
        <v>0</v>
      </c>
      <c r="JB16" s="1537">
        <f>'План и исполнение'!PW18</f>
        <v>0</v>
      </c>
      <c r="JC16" s="1538">
        <f>'План и исполнение'!QI18</f>
        <v>0</v>
      </c>
      <c r="JD16" s="1537">
        <f>'План и исполнение'!QO18</f>
        <v>0</v>
      </c>
      <c r="JE16" s="1539">
        <f>'Федеральные  средства  по  МО'!BQ17</f>
        <v>0</v>
      </c>
      <c r="JF16" s="1538">
        <f>'План и исполнение'!PZ18</f>
        <v>0</v>
      </c>
      <c r="JG16" s="1537">
        <f>'План и исполнение'!QL18</f>
        <v>0</v>
      </c>
      <c r="JH16" s="1538">
        <f>'План и исполнение'!QR18</f>
        <v>0</v>
      </c>
      <c r="JI16" s="1529">
        <f>'Федеральные  средства  по  МО'!BL17</f>
        <v>0</v>
      </c>
      <c r="JJ16" s="1537">
        <f>'План и исполнение'!NU18</f>
        <v>0</v>
      </c>
      <c r="JK16" s="1538">
        <f>'План и исполнение'!OS18</f>
        <v>0</v>
      </c>
      <c r="JL16" s="1537">
        <f>'План и исполнение'!PG18</f>
        <v>0</v>
      </c>
      <c r="JM16" s="1539">
        <f>'Федеральные  средства  по  МО'!BM17</f>
        <v>0</v>
      </c>
      <c r="JN16" s="1538">
        <f>'План и исполнение'!NX18</f>
        <v>0</v>
      </c>
      <c r="JO16" s="1537">
        <f>'План и исполнение'!OZ18</f>
        <v>0</v>
      </c>
      <c r="JP16" s="1576">
        <f>'План и исполнение'!PN18</f>
        <v>0</v>
      </c>
    </row>
    <row r="17" spans="1:276" ht="25.5" customHeight="1" x14ac:dyDescent="0.3">
      <c r="A17" s="102" t="s">
        <v>86</v>
      </c>
      <c r="B17" s="277">
        <f t="shared" si="17"/>
        <v>48191379.820000008</v>
      </c>
      <c r="C17" s="1422">
        <f t="shared" si="0"/>
        <v>3768772.93</v>
      </c>
      <c r="D17" s="1422">
        <f t="shared" si="1"/>
        <v>27155518.270000003</v>
      </c>
      <c r="E17" s="1422">
        <f t="shared" si="18"/>
        <v>17267088.620000001</v>
      </c>
      <c r="F17" s="277">
        <f t="shared" si="19"/>
        <v>6870223.2699999996</v>
      </c>
      <c r="G17" s="1422">
        <f t="shared" si="20"/>
        <v>2097931.1799999997</v>
      </c>
      <c r="H17" s="1422">
        <f t="shared" si="21"/>
        <v>3347193.78</v>
      </c>
      <c r="I17" s="1422">
        <f t="shared" si="22"/>
        <v>1425098.31</v>
      </c>
      <c r="J17" s="105"/>
      <c r="K17" s="1421">
        <f>M17-'Федеральные  средства  по  МО'!D18</f>
        <v>0</v>
      </c>
      <c r="L17" s="1421">
        <f>Q17-'Федеральные  средства  по  МО'!E18</f>
        <v>0</v>
      </c>
      <c r="M17" s="277">
        <f t="shared" si="23"/>
        <v>48191379.82</v>
      </c>
      <c r="N17" s="1422">
        <f t="shared" si="24"/>
        <v>3768772.93</v>
      </c>
      <c r="O17" s="1422">
        <f t="shared" si="25"/>
        <v>27155518.270000003</v>
      </c>
      <c r="P17" s="1422">
        <f t="shared" si="26"/>
        <v>17267088.620000001</v>
      </c>
      <c r="Q17" s="277">
        <f t="shared" si="27"/>
        <v>6870223.2699999996</v>
      </c>
      <c r="R17" s="1422">
        <f t="shared" si="28"/>
        <v>2097931.1799999997</v>
      </c>
      <c r="S17" s="1422">
        <f t="shared" si="29"/>
        <v>3347193.78</v>
      </c>
      <c r="T17" s="1422">
        <f t="shared" si="30"/>
        <v>1425098.31</v>
      </c>
      <c r="U17" s="103">
        <f>'Федеральные  средства  по  МО'!F18</f>
        <v>0</v>
      </c>
      <c r="V17" s="1424">
        <f t="shared" si="31"/>
        <v>0</v>
      </c>
      <c r="W17" s="1426"/>
      <c r="X17" s="1424"/>
      <c r="Y17" s="101">
        <f>'Федеральные  средства  по  МО'!G18</f>
        <v>0</v>
      </c>
      <c r="Z17" s="1426">
        <f t="shared" si="32"/>
        <v>0</v>
      </c>
      <c r="AA17" s="1424"/>
      <c r="AB17" s="1425"/>
      <c r="AC17" s="104">
        <f>'Федеральные  средства  по  МО'!H18</f>
        <v>0</v>
      </c>
      <c r="AD17" s="1424">
        <f>'План и исполнение'!CQ19</f>
        <v>0</v>
      </c>
      <c r="AE17" s="1426">
        <f>'План и исполнение'!CU19</f>
        <v>0</v>
      </c>
      <c r="AF17" s="1424">
        <f>'План и исполнение'!CW19</f>
        <v>0</v>
      </c>
      <c r="AG17" s="100">
        <f>'Федеральные  средства  по  МО'!I18</f>
        <v>0</v>
      </c>
      <c r="AH17" s="1426">
        <f>'План и исполнение'!CR19</f>
        <v>0</v>
      </c>
      <c r="AI17" s="1424">
        <f>'План и исполнение'!CV19</f>
        <v>0</v>
      </c>
      <c r="AJ17" s="1426">
        <f>'План и исполнение'!CX19</f>
        <v>0</v>
      </c>
      <c r="AK17" s="101">
        <f>'Федеральные  средства  по  МО'!J18</f>
        <v>0</v>
      </c>
      <c r="AL17" s="1425"/>
      <c r="AM17" s="1426"/>
      <c r="AN17" s="1423"/>
      <c r="AO17" s="101">
        <f>'Федеральные  средства  по  МО'!K18</f>
        <v>0</v>
      </c>
      <c r="AP17" s="1426"/>
      <c r="AQ17" s="1424"/>
      <c r="AR17" s="1426"/>
      <c r="AS17" s="103">
        <f>'Федеральные  средства  по  МО'!L18</f>
        <v>0</v>
      </c>
      <c r="AT17" s="1424">
        <f t="shared" si="3"/>
        <v>0</v>
      </c>
      <c r="AU17" s="1424"/>
      <c r="AV17" s="1426"/>
      <c r="AW17" s="101">
        <f>'Федеральные  средства  по  МО'!M18</f>
        <v>0</v>
      </c>
      <c r="AX17" s="1424">
        <f t="shared" si="4"/>
        <v>0</v>
      </c>
      <c r="AY17" s="1426"/>
      <c r="AZ17" s="1424"/>
      <c r="BA17" s="104">
        <f>'Федеральные  средства  по  МО'!N18</f>
        <v>0</v>
      </c>
      <c r="BB17" s="1424">
        <f t="shared" si="5"/>
        <v>0</v>
      </c>
      <c r="BC17" s="1426"/>
      <c r="BD17" s="1424"/>
      <c r="BE17" s="104">
        <f>'Федеральные  средства  по  МО'!O18</f>
        <v>0</v>
      </c>
      <c r="BF17" s="1424">
        <f t="shared" si="6"/>
        <v>0</v>
      </c>
      <c r="BG17" s="1424"/>
      <c r="BH17" s="1426"/>
      <c r="BI17" s="1528">
        <f>'Федеральные  средства  по  МО'!P18</f>
        <v>0</v>
      </c>
      <c r="BJ17" s="1424">
        <f t="shared" si="7"/>
        <v>0</v>
      </c>
      <c r="BK17" s="1424"/>
      <c r="BL17" s="1425"/>
      <c r="BM17" s="100">
        <f>'Федеральные  средства  по  МО'!Q18</f>
        <v>0</v>
      </c>
      <c r="BN17" s="1424">
        <f t="shared" si="8"/>
        <v>0</v>
      </c>
      <c r="BO17" s="1424"/>
      <c r="BP17" s="1426"/>
      <c r="BQ17" s="101">
        <f>'Федеральные  средства  по  МО'!R18</f>
        <v>2859675</v>
      </c>
      <c r="BR17" s="1424">
        <f t="shared" si="9"/>
        <v>2859675</v>
      </c>
      <c r="BS17" s="1424"/>
      <c r="BT17" s="1425"/>
      <c r="BU17" s="104">
        <f>'Федеральные  средства  по  МО'!S18</f>
        <v>1962853.89</v>
      </c>
      <c r="BV17" s="1424">
        <f t="shared" si="10"/>
        <v>1962853.89</v>
      </c>
      <c r="BW17" s="1424"/>
      <c r="BX17" s="1426"/>
      <c r="BY17" s="103">
        <f>'Федеральные  средства  по  МО'!T18</f>
        <v>0</v>
      </c>
      <c r="BZ17" s="1424">
        <f t="shared" si="11"/>
        <v>0</v>
      </c>
      <c r="CA17" s="1426"/>
      <c r="CB17" s="1424"/>
      <c r="CC17" s="100">
        <f>'Федеральные  средства  по  МО'!U18</f>
        <v>0</v>
      </c>
      <c r="CD17" s="1424">
        <f t="shared" si="12"/>
        <v>0</v>
      </c>
      <c r="CE17" s="1424"/>
      <c r="CF17" s="1426"/>
      <c r="CG17" s="103">
        <f>'Федеральные  средства  по  МО'!V18</f>
        <v>0</v>
      </c>
      <c r="CH17" s="1424"/>
      <c r="CI17" s="1426"/>
      <c r="CJ17" s="1424"/>
      <c r="CK17" s="100">
        <f>'Федеральные  средства  по  МО'!W18</f>
        <v>0</v>
      </c>
      <c r="CL17" s="1426"/>
      <c r="CM17" s="1424"/>
      <c r="CN17" s="1426"/>
      <c r="CO17" s="103">
        <f>'Федеральные  средства  по  МО'!X18</f>
        <v>0</v>
      </c>
      <c r="CP17" s="1424">
        <f t="shared" si="13"/>
        <v>0</v>
      </c>
      <c r="CQ17" s="1426"/>
      <c r="CR17" s="1424"/>
      <c r="CS17" s="100">
        <f>'Федеральные  средства  по  МО'!Y18</f>
        <v>0</v>
      </c>
      <c r="CT17" s="1424">
        <f t="shared" si="33"/>
        <v>0</v>
      </c>
      <c r="CU17" s="1424"/>
      <c r="CV17" s="1426"/>
      <c r="CW17" s="103">
        <f>'Федеральные  средства  по  МО'!Z18</f>
        <v>0</v>
      </c>
      <c r="CX17" s="1424"/>
      <c r="CY17" s="1424"/>
      <c r="CZ17" s="1426"/>
      <c r="DA17" s="101">
        <f>'Федеральные  средства  по  МО'!AA18</f>
        <v>0</v>
      </c>
      <c r="DB17" s="1426"/>
      <c r="DC17" s="1424"/>
      <c r="DD17" s="1426"/>
      <c r="DE17" s="103">
        <f>'Федеральные  средства  по  МО'!AB18</f>
        <v>0</v>
      </c>
      <c r="DF17" s="1424"/>
      <c r="DG17" s="1426"/>
      <c r="DH17" s="1424"/>
      <c r="DI17" s="100">
        <f>'Федеральные  средства  по  МО'!AC18</f>
        <v>0</v>
      </c>
      <c r="DJ17" s="1426"/>
      <c r="DK17" s="1424"/>
      <c r="DL17" s="1426"/>
      <c r="DM17" s="103">
        <f>'Федеральные  средства  по  МО'!AD18</f>
        <v>0</v>
      </c>
      <c r="DN17" s="1424">
        <f t="shared" si="14"/>
        <v>0</v>
      </c>
      <c r="DO17" s="1426"/>
      <c r="DP17" s="1424"/>
      <c r="DQ17" s="100">
        <f>'Федеральные  средства  по  МО'!AE18</f>
        <v>0</v>
      </c>
      <c r="DR17" s="1424">
        <f t="shared" si="15"/>
        <v>0</v>
      </c>
      <c r="DS17" s="1424"/>
      <c r="DT17" s="1426"/>
      <c r="DU17" s="103">
        <f>'Федеральные  средства  по  МО'!AF18</f>
        <v>257870.98</v>
      </c>
      <c r="DV17" s="1424">
        <f>'План и исполнение'!GK19</f>
        <v>0</v>
      </c>
      <c r="DW17" s="1424">
        <f>'План и исполнение'!HE19</f>
        <v>156467.17000000001</v>
      </c>
      <c r="DX17" s="1426">
        <f>'План и исполнение'!HO19</f>
        <v>101403.81</v>
      </c>
      <c r="DY17" s="101">
        <f>'Федеральные  средства  по  МО'!AG18</f>
        <v>155545.87</v>
      </c>
      <c r="DZ17" s="1426">
        <f>'План и исполнение'!GP19</f>
        <v>0</v>
      </c>
      <c r="EA17" s="1424">
        <f>'План и исполнение'!HJ19</f>
        <v>80632.37999999999</v>
      </c>
      <c r="EB17" s="1426">
        <f>'План и исполнение'!HT19</f>
        <v>74913.490000000005</v>
      </c>
      <c r="EC17" s="103">
        <f>'Федеральные  средства  по  МО'!AH18</f>
        <v>0</v>
      </c>
      <c r="ED17" s="1424"/>
      <c r="EE17" s="1426"/>
      <c r="EF17" s="1424"/>
      <c r="EG17" s="100">
        <f>'Федеральные  средства  по  МО'!AI18</f>
        <v>0</v>
      </c>
      <c r="EH17" s="1426"/>
      <c r="EI17" s="1424"/>
      <c r="EJ17" s="1426"/>
      <c r="EK17" s="103">
        <f>'Федеральные  средства  по  МО'!AJ18</f>
        <v>0</v>
      </c>
      <c r="EL17" s="1424">
        <f t="shared" si="34"/>
        <v>0</v>
      </c>
      <c r="EM17" s="1426"/>
      <c r="EN17" s="1424"/>
      <c r="EO17" s="100">
        <f>'Федеральные  средства  по  МО'!AK18</f>
        <v>0</v>
      </c>
      <c r="EP17" s="1424">
        <f t="shared" si="35"/>
        <v>0</v>
      </c>
      <c r="EQ17" s="1424"/>
      <c r="ER17" s="1426"/>
      <c r="ES17" s="103">
        <f>'Федеральные  средства  по  МО'!AL18</f>
        <v>0</v>
      </c>
      <c r="ET17" s="1424">
        <f t="shared" si="36"/>
        <v>0</v>
      </c>
      <c r="EU17" s="1426"/>
      <c r="EV17" s="1424"/>
      <c r="EW17" s="100">
        <f>'Федеральные  средства  по  МО'!AM18</f>
        <v>0</v>
      </c>
      <c r="EX17" s="1425">
        <f t="shared" si="37"/>
        <v>0</v>
      </c>
      <c r="EY17" s="1424"/>
      <c r="EZ17" s="1426"/>
      <c r="FA17" s="103">
        <f>'Федеральные  средства  по  МО'!AN18</f>
        <v>0</v>
      </c>
      <c r="FB17" s="1424"/>
      <c r="FC17" s="1426"/>
      <c r="FD17" s="1424"/>
      <c r="FE17" s="100">
        <f>'Федеральные  средства  по  МО'!AO18</f>
        <v>0</v>
      </c>
      <c r="FF17" s="1426"/>
      <c r="FG17" s="1424"/>
      <c r="FH17" s="1426"/>
      <c r="FI17" s="103">
        <f>'Федеральные  средства  по  МО'!AP18</f>
        <v>2023440.0100000002</v>
      </c>
      <c r="FJ17" s="1424">
        <f>'План и исполнение'!IO19</f>
        <v>909097.93</v>
      </c>
      <c r="FK17" s="1426">
        <f>'План и исполнение'!JA19</f>
        <v>478657.27</v>
      </c>
      <c r="FL17" s="1424">
        <f>'План и исполнение'!JG19</f>
        <v>635684.81000000006</v>
      </c>
      <c r="FM17" s="100">
        <f>'Федеральные  средства  по  МО'!AQ18</f>
        <v>1249419.3700000001</v>
      </c>
      <c r="FN17" s="1426">
        <f>'План и исполнение'!IR19</f>
        <v>135077.29</v>
      </c>
      <c r="FO17" s="1424">
        <f>'План и исполнение'!JD19</f>
        <v>478657.27</v>
      </c>
      <c r="FP17" s="1426">
        <f>'План и исполнение'!JJ19</f>
        <v>635684.81000000006</v>
      </c>
      <c r="FQ17" s="103">
        <f>'Федеральные  средства  по  МО'!AR18</f>
        <v>0</v>
      </c>
      <c r="FR17" s="1424">
        <f t="shared" si="38"/>
        <v>0</v>
      </c>
      <c r="FS17" s="1426"/>
      <c r="FT17" s="1424"/>
      <c r="FU17" s="100">
        <f>'Федеральные  средства  по  МО'!AS18</f>
        <v>0</v>
      </c>
      <c r="FV17" s="1424">
        <f t="shared" si="39"/>
        <v>0</v>
      </c>
      <c r="FW17" s="1424"/>
      <c r="FX17" s="1426"/>
      <c r="FY17" s="103">
        <f>'Федеральные  средства  по  МО'!AT18</f>
        <v>0</v>
      </c>
      <c r="FZ17" s="1424">
        <f>'План и исполнение'!JU19</f>
        <v>0</v>
      </c>
      <c r="GA17" s="1426">
        <f>'План и исполнение'!KO19</f>
        <v>0</v>
      </c>
      <c r="GB17" s="1424">
        <f>'План и исполнение'!KY19</f>
        <v>0</v>
      </c>
      <c r="GC17" s="100">
        <f>'Федеральные  средства  по  МО'!AU18</f>
        <v>0</v>
      </c>
      <c r="GD17" s="1426">
        <f>'План и исполнение'!JZ19</f>
        <v>0</v>
      </c>
      <c r="GE17" s="1424">
        <f>'План и исполнение'!KT19</f>
        <v>0</v>
      </c>
      <c r="GF17" s="1426">
        <f>'План и исполнение'!LD19</f>
        <v>0</v>
      </c>
      <c r="GG17" s="103">
        <f>'Федеральные  средства  по  МО'!AV18</f>
        <v>22680000</v>
      </c>
      <c r="GH17" s="1424"/>
      <c r="GI17" s="1426">
        <f>'План и исполнение'!KM19</f>
        <v>22680000</v>
      </c>
      <c r="GJ17" s="1424">
        <f>'План и исполнение'!KW19</f>
        <v>0</v>
      </c>
      <c r="GK17" s="100">
        <f>'Федеральные  средства  по  МО'!AW18</f>
        <v>2787904.13</v>
      </c>
      <c r="GL17" s="1426"/>
      <c r="GM17" s="1424">
        <f>'План и исполнение'!KR19</f>
        <v>2787904.13</v>
      </c>
      <c r="GN17" s="1426">
        <f>'План и исполнение'!LB19</f>
        <v>0</v>
      </c>
      <c r="GO17" s="103">
        <f>'Федеральные  средства  по  МО'!AX18</f>
        <v>0</v>
      </c>
      <c r="GP17" s="1424">
        <f t="shared" si="40"/>
        <v>0</v>
      </c>
      <c r="GQ17" s="1426"/>
      <c r="GR17" s="1424"/>
      <c r="GS17" s="104">
        <f>'Федеральные  средства  по  МО'!AY18</f>
        <v>0</v>
      </c>
      <c r="GT17" s="1424">
        <f t="shared" si="16"/>
        <v>0</v>
      </c>
      <c r="GU17" s="1426"/>
      <c r="GV17" s="1424"/>
      <c r="GW17" s="104">
        <f>'Федеральные  средства  по  МО'!AZ18</f>
        <v>0</v>
      </c>
      <c r="GX17" s="1424"/>
      <c r="GY17" s="1426"/>
      <c r="GZ17" s="1424"/>
      <c r="HA17" s="100">
        <f>'Федеральные  средства  по  МО'!BA18</f>
        <v>0</v>
      </c>
      <c r="HB17" s="1426"/>
      <c r="HC17" s="1424"/>
      <c r="HD17" s="1426"/>
      <c r="HE17" s="103">
        <f>'Федеральные  средства  по  МО'!BB18</f>
        <v>0</v>
      </c>
      <c r="HF17" s="1424"/>
      <c r="HG17" s="1426"/>
      <c r="HH17" s="1424"/>
      <c r="HI17" s="104">
        <f>'Федеральные  средства  по  МО'!BC18</f>
        <v>0</v>
      </c>
      <c r="HJ17" s="1424"/>
      <c r="HK17" s="1426"/>
      <c r="HL17" s="1424"/>
      <c r="HM17" s="104">
        <f>'Федеральные  средства  по  МО'!BD18</f>
        <v>0</v>
      </c>
      <c r="HN17" s="1424"/>
      <c r="HO17" s="1426"/>
      <c r="HP17" s="1424"/>
      <c r="HQ17" s="100">
        <f>'Федеральные  средства  по  МО'!BE18</f>
        <v>0</v>
      </c>
      <c r="HR17" s="1426"/>
      <c r="HS17" s="1424"/>
      <c r="HT17" s="1426"/>
      <c r="HU17" s="103">
        <f>'Федеральные  средства  по  МО'!BF18</f>
        <v>16530000</v>
      </c>
      <c r="HV17" s="1424"/>
      <c r="HW17" s="1426"/>
      <c r="HX17" s="1424">
        <f>'План и исполнение'!NM19</f>
        <v>16530000</v>
      </c>
      <c r="HY17" s="100">
        <f>'Федеральные  средства  по  МО'!BG18</f>
        <v>714500.01</v>
      </c>
      <c r="HZ17" s="1426"/>
      <c r="IA17" s="1424"/>
      <c r="IB17" s="1426">
        <f>'План и исполнение'!NQ19</f>
        <v>714500.01</v>
      </c>
      <c r="IC17" s="103">
        <f>'Федеральные  средства  по  МО'!BJ18</f>
        <v>3840393.83</v>
      </c>
      <c r="ID17" s="1424"/>
      <c r="IE17" s="1426">
        <f>'План и исполнение'!OQ19</f>
        <v>3840393.83</v>
      </c>
      <c r="IF17" s="1424">
        <f>'План и исполнение'!PE19</f>
        <v>0</v>
      </c>
      <c r="IG17" s="100">
        <f>'Федеральные  средства  по  МО'!BK18</f>
        <v>0</v>
      </c>
      <c r="IH17" s="1426"/>
      <c r="II17" s="1424">
        <f>'План и исполнение'!OX19</f>
        <v>0</v>
      </c>
      <c r="IJ17" s="1426">
        <f>'План и исполнение'!PL19</f>
        <v>0</v>
      </c>
      <c r="IK17" s="103">
        <f>'Федеральные  средства  по  МО'!BN18</f>
        <v>0</v>
      </c>
      <c r="IL17" s="1424"/>
      <c r="IM17" s="1426"/>
      <c r="IN17" s="1424"/>
      <c r="IO17" s="100">
        <f>'Федеральные  средства  по  МО'!BO18</f>
        <v>0</v>
      </c>
      <c r="IP17" s="1426"/>
      <c r="IQ17" s="1424"/>
      <c r="IR17" s="1426"/>
      <c r="IS17" s="103">
        <f>'Федеральные  средства  по  МО'!BH18</f>
        <v>0</v>
      </c>
      <c r="IT17" s="1424"/>
      <c r="IU17" s="1426">
        <f>'План и исполнение'!OO19</f>
        <v>0</v>
      </c>
      <c r="IV17" s="1424">
        <f>'План и исполнение'!PC19</f>
        <v>0</v>
      </c>
      <c r="IW17" s="100">
        <f>'Федеральные  средства  по  МО'!BI18</f>
        <v>0</v>
      </c>
      <c r="IX17" s="1426"/>
      <c r="IY17" s="1424">
        <f>'План и исполнение'!OV19</f>
        <v>0</v>
      </c>
      <c r="IZ17" s="1426">
        <f>'План и исполнение'!PJ19</f>
        <v>0</v>
      </c>
      <c r="JA17" s="103">
        <f>'Федеральные  средства  по  МО'!BP18</f>
        <v>0</v>
      </c>
      <c r="JB17" s="1424">
        <f>'План и исполнение'!PW19</f>
        <v>0</v>
      </c>
      <c r="JC17" s="1426">
        <f>'План и исполнение'!QI19</f>
        <v>0</v>
      </c>
      <c r="JD17" s="1424">
        <f>'План и исполнение'!QO19</f>
        <v>0</v>
      </c>
      <c r="JE17" s="100">
        <f>'Федеральные  средства  по  МО'!BQ18</f>
        <v>0</v>
      </c>
      <c r="JF17" s="1426">
        <f>'План и исполнение'!PZ19</f>
        <v>0</v>
      </c>
      <c r="JG17" s="1424">
        <f>'План и исполнение'!QL19</f>
        <v>0</v>
      </c>
      <c r="JH17" s="1426">
        <f>'План и исполнение'!QR19</f>
        <v>0</v>
      </c>
      <c r="JI17" s="103">
        <f>'Федеральные  средства  по  МО'!BL18</f>
        <v>0</v>
      </c>
      <c r="JJ17" s="1424">
        <f>'План и исполнение'!NU19</f>
        <v>0</v>
      </c>
      <c r="JK17" s="1426">
        <f>'План и исполнение'!OS19</f>
        <v>0</v>
      </c>
      <c r="JL17" s="1424">
        <f>'План и исполнение'!PG19</f>
        <v>0</v>
      </c>
      <c r="JM17" s="100">
        <f>'Федеральные  средства  по  МО'!BM18</f>
        <v>0</v>
      </c>
      <c r="JN17" s="1426">
        <f>'План и исполнение'!NX19</f>
        <v>0</v>
      </c>
      <c r="JO17" s="1424">
        <f>'План и исполнение'!OZ19</f>
        <v>0</v>
      </c>
      <c r="JP17" s="1425">
        <f>'План и исполнение'!PN19</f>
        <v>0</v>
      </c>
    </row>
    <row r="18" spans="1:276" ht="25.5" customHeight="1" x14ac:dyDescent="0.3">
      <c r="A18" s="105" t="s">
        <v>87</v>
      </c>
      <c r="B18" s="277">
        <f t="shared" si="17"/>
        <v>148742557.34000003</v>
      </c>
      <c r="C18" s="1422">
        <f t="shared" si="0"/>
        <v>146043142.51000002</v>
      </c>
      <c r="D18" s="1422">
        <f t="shared" si="1"/>
        <v>2699414.83</v>
      </c>
      <c r="E18" s="1422">
        <f t="shared" si="18"/>
        <v>0</v>
      </c>
      <c r="F18" s="277">
        <f t="shared" si="19"/>
        <v>15638268.08</v>
      </c>
      <c r="G18" s="1422">
        <f t="shared" si="20"/>
        <v>15502652.77</v>
      </c>
      <c r="H18" s="1422">
        <f t="shared" si="21"/>
        <v>135615.31</v>
      </c>
      <c r="I18" s="1422">
        <f t="shared" si="22"/>
        <v>0</v>
      </c>
      <c r="J18" s="105"/>
      <c r="K18" s="1421">
        <f>M18-'Федеральные  средства  по  МО'!D19</f>
        <v>0</v>
      </c>
      <c r="L18" s="1421">
        <f>Q18-'Федеральные  средства  по  МО'!E19</f>
        <v>0</v>
      </c>
      <c r="M18" s="277">
        <f t="shared" si="23"/>
        <v>148742557.34</v>
      </c>
      <c r="N18" s="1422">
        <f t="shared" si="24"/>
        <v>146043142.51000002</v>
      </c>
      <c r="O18" s="1422">
        <f t="shared" si="25"/>
        <v>2699414.83</v>
      </c>
      <c r="P18" s="1422">
        <f t="shared" si="26"/>
        <v>0</v>
      </c>
      <c r="Q18" s="277">
        <f t="shared" si="27"/>
        <v>15638268.08</v>
      </c>
      <c r="R18" s="1422">
        <f t="shared" si="28"/>
        <v>15502652.77</v>
      </c>
      <c r="S18" s="1422">
        <f t="shared" si="29"/>
        <v>135615.31</v>
      </c>
      <c r="T18" s="1422">
        <f t="shared" si="30"/>
        <v>0</v>
      </c>
      <c r="U18" s="103">
        <f>'Федеральные  средства  по  МО'!F19</f>
        <v>0</v>
      </c>
      <c r="V18" s="1424">
        <f t="shared" si="31"/>
        <v>0</v>
      </c>
      <c r="W18" s="1426"/>
      <c r="X18" s="1424"/>
      <c r="Y18" s="101">
        <f>'Федеральные  средства  по  МО'!G19</f>
        <v>0</v>
      </c>
      <c r="Z18" s="1426">
        <f t="shared" si="32"/>
        <v>0</v>
      </c>
      <c r="AA18" s="1424"/>
      <c r="AB18" s="1425"/>
      <c r="AC18" s="1546">
        <f>'Федеральные  средства  по  МО'!H19</f>
        <v>0</v>
      </c>
      <c r="AD18" s="1537">
        <f>'План и исполнение'!CQ20</f>
        <v>0</v>
      </c>
      <c r="AE18" s="1538">
        <f>'План и исполнение'!CU20</f>
        <v>0</v>
      </c>
      <c r="AF18" s="1537">
        <f>'План и исполнение'!CW20</f>
        <v>0</v>
      </c>
      <c r="AG18" s="1539">
        <f>'Федеральные  средства  по  МО'!I19</f>
        <v>0</v>
      </c>
      <c r="AH18" s="1538">
        <f>'План и исполнение'!CR20</f>
        <v>0</v>
      </c>
      <c r="AI18" s="1537">
        <f>'План и исполнение'!CV20</f>
        <v>0</v>
      </c>
      <c r="AJ18" s="1538">
        <f>'План и исполнение'!CX20</f>
        <v>0</v>
      </c>
      <c r="AK18" s="1575">
        <f>'Федеральные  средства  по  МО'!J19</f>
        <v>0</v>
      </c>
      <c r="AL18" s="1576"/>
      <c r="AM18" s="1538"/>
      <c r="AN18" s="1577"/>
      <c r="AO18" s="1575">
        <f>'Федеральные  средства  по  МО'!K19</f>
        <v>0</v>
      </c>
      <c r="AP18" s="1538"/>
      <c r="AQ18" s="1537"/>
      <c r="AR18" s="1538"/>
      <c r="AS18" s="1529">
        <f>'Федеральные  средства  по  МО'!L19</f>
        <v>0</v>
      </c>
      <c r="AT18" s="1537">
        <f t="shared" si="3"/>
        <v>0</v>
      </c>
      <c r="AU18" s="1537"/>
      <c r="AV18" s="1538"/>
      <c r="AW18" s="1575">
        <f>'Федеральные  средства  по  МО'!M19</f>
        <v>0</v>
      </c>
      <c r="AX18" s="1537">
        <f t="shared" si="4"/>
        <v>0</v>
      </c>
      <c r="AY18" s="1538"/>
      <c r="AZ18" s="1537"/>
      <c r="BA18" s="1546">
        <f>'Федеральные  средства  по  МО'!N19</f>
        <v>0</v>
      </c>
      <c r="BB18" s="1537">
        <f t="shared" si="5"/>
        <v>0</v>
      </c>
      <c r="BC18" s="1538"/>
      <c r="BD18" s="1537"/>
      <c r="BE18" s="1546">
        <f>'Федеральные  средства  по  МО'!O19</f>
        <v>0</v>
      </c>
      <c r="BF18" s="1537">
        <f t="shared" si="6"/>
        <v>0</v>
      </c>
      <c r="BG18" s="1537"/>
      <c r="BH18" s="1538"/>
      <c r="BI18" s="1578">
        <f>'Федеральные  средства  по  МО'!P19</f>
        <v>0</v>
      </c>
      <c r="BJ18" s="1537">
        <f t="shared" si="7"/>
        <v>0</v>
      </c>
      <c r="BK18" s="1537"/>
      <c r="BL18" s="1576"/>
      <c r="BM18" s="1539">
        <f>'Федеральные  средства  по  МО'!Q19</f>
        <v>0</v>
      </c>
      <c r="BN18" s="1537">
        <f t="shared" si="8"/>
        <v>0</v>
      </c>
      <c r="BO18" s="1537"/>
      <c r="BP18" s="1538"/>
      <c r="BQ18" s="1575">
        <f>'Федеральные  средства  по  МО'!R19</f>
        <v>0</v>
      </c>
      <c r="BR18" s="1537">
        <f t="shared" si="9"/>
        <v>0</v>
      </c>
      <c r="BS18" s="1537"/>
      <c r="BT18" s="1576"/>
      <c r="BU18" s="1546">
        <f>'Федеральные  средства  по  МО'!S19</f>
        <v>0</v>
      </c>
      <c r="BV18" s="1537">
        <f t="shared" si="10"/>
        <v>0</v>
      </c>
      <c r="BW18" s="1537"/>
      <c r="BX18" s="1538"/>
      <c r="BY18" s="1529">
        <f>'Федеральные  средства  по  МО'!T19</f>
        <v>0</v>
      </c>
      <c r="BZ18" s="1537">
        <f t="shared" si="11"/>
        <v>0</v>
      </c>
      <c r="CA18" s="1538"/>
      <c r="CB18" s="1537"/>
      <c r="CC18" s="1539">
        <f>'Федеральные  средства  по  МО'!U19</f>
        <v>0</v>
      </c>
      <c r="CD18" s="1537">
        <f t="shared" si="12"/>
        <v>0</v>
      </c>
      <c r="CE18" s="1537"/>
      <c r="CF18" s="1538"/>
      <c r="CG18" s="1529">
        <f>'Федеральные  средства  по  МО'!V19</f>
        <v>0</v>
      </c>
      <c r="CH18" s="1537"/>
      <c r="CI18" s="1538"/>
      <c r="CJ18" s="1537"/>
      <c r="CK18" s="1539">
        <f>'Федеральные  средства  по  МО'!W19</f>
        <v>0</v>
      </c>
      <c r="CL18" s="1538"/>
      <c r="CM18" s="1537"/>
      <c r="CN18" s="1538"/>
      <c r="CO18" s="1529">
        <f>'Федеральные  средства  по  МО'!X19</f>
        <v>141345300</v>
      </c>
      <c r="CP18" s="1537">
        <f t="shared" si="13"/>
        <v>141345300</v>
      </c>
      <c r="CQ18" s="1538"/>
      <c r="CR18" s="1537"/>
      <c r="CS18" s="1539">
        <f>'Федеральные  средства  по  МО'!Y19</f>
        <v>15502652.77</v>
      </c>
      <c r="CT18" s="1537">
        <f t="shared" si="33"/>
        <v>15502652.77</v>
      </c>
      <c r="CU18" s="1537"/>
      <c r="CV18" s="1538"/>
      <c r="CW18" s="1529">
        <f>'Федеральные  средства  по  МО'!Z19</f>
        <v>0</v>
      </c>
      <c r="CX18" s="1537"/>
      <c r="CY18" s="1537"/>
      <c r="CZ18" s="1538"/>
      <c r="DA18" s="1575">
        <f>'Федеральные  средства  по  МО'!AA19</f>
        <v>0</v>
      </c>
      <c r="DB18" s="1538"/>
      <c r="DC18" s="1537"/>
      <c r="DD18" s="1538"/>
      <c r="DE18" s="1529">
        <f>'Федеральные  средства  по  МО'!AB19</f>
        <v>0</v>
      </c>
      <c r="DF18" s="1537"/>
      <c r="DG18" s="1538"/>
      <c r="DH18" s="1537"/>
      <c r="DI18" s="1539">
        <f>'Федеральные  средства  по  МО'!AC19</f>
        <v>0</v>
      </c>
      <c r="DJ18" s="1538"/>
      <c r="DK18" s="1537"/>
      <c r="DL18" s="1538"/>
      <c r="DM18" s="1529">
        <f>'Федеральные  средства  по  МО'!AD19</f>
        <v>0</v>
      </c>
      <c r="DN18" s="1537">
        <f t="shared" si="14"/>
        <v>0</v>
      </c>
      <c r="DO18" s="1538"/>
      <c r="DP18" s="1537"/>
      <c r="DQ18" s="1539">
        <f>'Федеральные  средства  по  МО'!AE19</f>
        <v>0</v>
      </c>
      <c r="DR18" s="1537">
        <f t="shared" si="15"/>
        <v>0</v>
      </c>
      <c r="DS18" s="1537"/>
      <c r="DT18" s="1538"/>
      <c r="DU18" s="1529">
        <f>'Федеральные  средства  по  МО'!AF19</f>
        <v>1139644.7000000002</v>
      </c>
      <c r="DV18" s="1537">
        <f>'План и исполнение'!GK20</f>
        <v>0</v>
      </c>
      <c r="DW18" s="1537">
        <f>'План и исполнение'!HE20</f>
        <v>1139644.7000000002</v>
      </c>
      <c r="DX18" s="1538">
        <f>'План и исполнение'!HO20</f>
        <v>0</v>
      </c>
      <c r="DY18" s="1575">
        <f>'Федеральные  средства  по  МО'!AG19</f>
        <v>0</v>
      </c>
      <c r="DZ18" s="1538">
        <f>'План и исполнение'!GP20</f>
        <v>0</v>
      </c>
      <c r="EA18" s="1537">
        <f>'План и исполнение'!HJ20</f>
        <v>0</v>
      </c>
      <c r="EB18" s="1538">
        <f>'План и исполнение'!HT20</f>
        <v>0</v>
      </c>
      <c r="EC18" s="1529">
        <f>'Федеральные  средства  по  МО'!AH19</f>
        <v>0</v>
      </c>
      <c r="ED18" s="1537"/>
      <c r="EE18" s="1538"/>
      <c r="EF18" s="1537"/>
      <c r="EG18" s="1539">
        <f>'Федеральные  средства  по  МО'!AI19</f>
        <v>0</v>
      </c>
      <c r="EH18" s="1538"/>
      <c r="EI18" s="1537"/>
      <c r="EJ18" s="1538"/>
      <c r="EK18" s="1529">
        <f>'Федеральные  средства  по  МО'!AJ19</f>
        <v>0</v>
      </c>
      <c r="EL18" s="1537">
        <f t="shared" si="34"/>
        <v>0</v>
      </c>
      <c r="EM18" s="1538"/>
      <c r="EN18" s="1537"/>
      <c r="EO18" s="1539">
        <f>'Федеральные  средства  по  МО'!AK19</f>
        <v>0</v>
      </c>
      <c r="EP18" s="1537">
        <f t="shared" si="35"/>
        <v>0</v>
      </c>
      <c r="EQ18" s="1537"/>
      <c r="ER18" s="1538"/>
      <c r="ES18" s="103">
        <f>'Федеральные  средства  по  МО'!AL19</f>
        <v>0</v>
      </c>
      <c r="ET18" s="1424">
        <f t="shared" si="36"/>
        <v>0</v>
      </c>
      <c r="EU18" s="1426"/>
      <c r="EV18" s="1424"/>
      <c r="EW18" s="100">
        <f>'Федеральные  средства  по  МО'!AM19</f>
        <v>0</v>
      </c>
      <c r="EX18" s="1576">
        <f t="shared" si="37"/>
        <v>0</v>
      </c>
      <c r="EY18" s="1537"/>
      <c r="EZ18" s="1538"/>
      <c r="FA18" s="1529">
        <f>'Федеральные  средства  по  МО'!AN19</f>
        <v>0</v>
      </c>
      <c r="FB18" s="1537"/>
      <c r="FC18" s="1538"/>
      <c r="FD18" s="1537"/>
      <c r="FE18" s="1539">
        <f>'Федеральные  средства  по  МО'!AO19</f>
        <v>0</v>
      </c>
      <c r="FF18" s="1538"/>
      <c r="FG18" s="1537"/>
      <c r="FH18" s="1538"/>
      <c r="FI18" s="1529">
        <f>'Федеральные  средства  по  МО'!AP19</f>
        <v>909097.93</v>
      </c>
      <c r="FJ18" s="1537">
        <f>'План и исполнение'!IO20</f>
        <v>909097.93</v>
      </c>
      <c r="FK18" s="1538">
        <f>'План и исполнение'!JA20</f>
        <v>0</v>
      </c>
      <c r="FL18" s="1537">
        <f>'План и исполнение'!JG20</f>
        <v>0</v>
      </c>
      <c r="FM18" s="1539">
        <f>'Федеральные  средства  по  МО'!AQ19</f>
        <v>0</v>
      </c>
      <c r="FN18" s="1538">
        <f>'План и исполнение'!IR20</f>
        <v>0</v>
      </c>
      <c r="FO18" s="1537">
        <f>'План и исполнение'!JD20</f>
        <v>0</v>
      </c>
      <c r="FP18" s="1538">
        <f>'План и исполнение'!JJ20</f>
        <v>0</v>
      </c>
      <c r="FQ18" s="1529">
        <f>'Федеральные  средства  по  МО'!AR19</f>
        <v>0</v>
      </c>
      <c r="FR18" s="1537">
        <f t="shared" si="38"/>
        <v>0</v>
      </c>
      <c r="FS18" s="1538"/>
      <c r="FT18" s="1537"/>
      <c r="FU18" s="1539">
        <f>'Федеральные  средства  по  МО'!AS19</f>
        <v>0</v>
      </c>
      <c r="FV18" s="1537">
        <f t="shared" si="39"/>
        <v>0</v>
      </c>
      <c r="FW18" s="1537"/>
      <c r="FX18" s="1538"/>
      <c r="FY18" s="1529">
        <f>'Федеральные  средства  по  МО'!AT19</f>
        <v>81144.58</v>
      </c>
      <c r="FZ18" s="1537">
        <f>'План и исполнение'!JU20</f>
        <v>81144.58</v>
      </c>
      <c r="GA18" s="1538">
        <f>'План и исполнение'!KO20</f>
        <v>0</v>
      </c>
      <c r="GB18" s="1537">
        <f>'План и исполнение'!KY20</f>
        <v>0</v>
      </c>
      <c r="GC18" s="1539">
        <f>'Федеральные  средства  по  МО'!AU19</f>
        <v>0</v>
      </c>
      <c r="GD18" s="1538">
        <f>'План и исполнение'!JZ20</f>
        <v>0</v>
      </c>
      <c r="GE18" s="1537">
        <f>'План и исполнение'!KT20</f>
        <v>0</v>
      </c>
      <c r="GF18" s="1538">
        <f>'План и исполнение'!LD20</f>
        <v>0</v>
      </c>
      <c r="GG18" s="1529">
        <f>'Федеральные  средства  по  МО'!AV19</f>
        <v>0</v>
      </c>
      <c r="GH18" s="1537"/>
      <c r="GI18" s="1538">
        <f>'План и исполнение'!KM20</f>
        <v>0</v>
      </c>
      <c r="GJ18" s="1537">
        <f>'План и исполнение'!KW20</f>
        <v>0</v>
      </c>
      <c r="GK18" s="1539">
        <f>'Федеральные  средства  по  МО'!AW19</f>
        <v>0</v>
      </c>
      <c r="GL18" s="1538"/>
      <c r="GM18" s="1537">
        <f>'План и исполнение'!KR20</f>
        <v>0</v>
      </c>
      <c r="GN18" s="1538">
        <f>'План и исполнение'!LB20</f>
        <v>0</v>
      </c>
      <c r="GO18" s="1529">
        <f>'Федеральные  средства  по  МО'!AX19</f>
        <v>0</v>
      </c>
      <c r="GP18" s="1537">
        <f t="shared" si="40"/>
        <v>0</v>
      </c>
      <c r="GQ18" s="1538"/>
      <c r="GR18" s="1537"/>
      <c r="GS18" s="1546">
        <f>'Федеральные  средства  по  МО'!AY19</f>
        <v>0</v>
      </c>
      <c r="GT18" s="1537">
        <f t="shared" si="16"/>
        <v>0</v>
      </c>
      <c r="GU18" s="1538"/>
      <c r="GV18" s="1537"/>
      <c r="GW18" s="1546">
        <f>'Федеральные  средства  по  МО'!AZ19</f>
        <v>0</v>
      </c>
      <c r="GX18" s="1537"/>
      <c r="GY18" s="1538"/>
      <c r="GZ18" s="1537"/>
      <c r="HA18" s="1539">
        <f>'Федеральные  средства  по  МО'!BA19</f>
        <v>0</v>
      </c>
      <c r="HB18" s="1538"/>
      <c r="HC18" s="1537"/>
      <c r="HD18" s="1538"/>
      <c r="HE18" s="1529">
        <f>'Федеральные  средства  по  МО'!BB19</f>
        <v>0</v>
      </c>
      <c r="HF18" s="1537"/>
      <c r="HG18" s="1538"/>
      <c r="HH18" s="1537"/>
      <c r="HI18" s="1546">
        <f>'Федеральные  средства  по  МО'!BC19</f>
        <v>0</v>
      </c>
      <c r="HJ18" s="1537"/>
      <c r="HK18" s="1538"/>
      <c r="HL18" s="1537"/>
      <c r="HM18" s="1546">
        <f>'Федеральные  средства  по  МО'!BD19</f>
        <v>0</v>
      </c>
      <c r="HN18" s="1537"/>
      <c r="HO18" s="1538"/>
      <c r="HP18" s="1537"/>
      <c r="HQ18" s="1539">
        <f>'Федеральные  средства  по  МО'!BE19</f>
        <v>0</v>
      </c>
      <c r="HR18" s="1538"/>
      <c r="HS18" s="1537"/>
      <c r="HT18" s="1538"/>
      <c r="HU18" s="1529">
        <f>'Федеральные  средства  по  МО'!BF19</f>
        <v>0</v>
      </c>
      <c r="HV18" s="1537"/>
      <c r="HW18" s="1538"/>
      <c r="HX18" s="1537">
        <f>'План и исполнение'!NM20</f>
        <v>0</v>
      </c>
      <c r="HY18" s="1539">
        <f>'Федеральные  средства  по  МО'!BG19</f>
        <v>0</v>
      </c>
      <c r="HZ18" s="1538"/>
      <c r="IA18" s="1537"/>
      <c r="IB18" s="1538">
        <f>'План и исполнение'!NQ20</f>
        <v>0</v>
      </c>
      <c r="IC18" s="1529">
        <f>'Федеральные  средства  по  МО'!BJ19</f>
        <v>1559770.13</v>
      </c>
      <c r="ID18" s="1537"/>
      <c r="IE18" s="1538">
        <f>'План и исполнение'!OQ20</f>
        <v>1559770.13</v>
      </c>
      <c r="IF18" s="1537">
        <f>'План и исполнение'!PE20</f>
        <v>0</v>
      </c>
      <c r="IG18" s="1539">
        <f>'Федеральные  средства  по  МО'!BK19</f>
        <v>135615.31</v>
      </c>
      <c r="IH18" s="1538"/>
      <c r="II18" s="1537">
        <f>'План и исполнение'!OX20</f>
        <v>135615.31</v>
      </c>
      <c r="IJ18" s="1538">
        <f>'План и исполнение'!PL20</f>
        <v>0</v>
      </c>
      <c r="IK18" s="1529">
        <f>'Федеральные  средства  по  МО'!BN19</f>
        <v>0</v>
      </c>
      <c r="IL18" s="1537"/>
      <c r="IM18" s="1538"/>
      <c r="IN18" s="1537"/>
      <c r="IO18" s="1539">
        <f>'Федеральные  средства  по  МО'!BO19</f>
        <v>0</v>
      </c>
      <c r="IP18" s="1538"/>
      <c r="IQ18" s="1537"/>
      <c r="IR18" s="1538"/>
      <c r="IS18" s="1529">
        <f>'Федеральные  средства  по  МО'!BH19</f>
        <v>0</v>
      </c>
      <c r="IT18" s="1537"/>
      <c r="IU18" s="1538">
        <f>'План и исполнение'!OO20</f>
        <v>0</v>
      </c>
      <c r="IV18" s="1537">
        <f>'План и исполнение'!PC20</f>
        <v>0</v>
      </c>
      <c r="IW18" s="1539">
        <f>'Федеральные  средства  по  МО'!BI19</f>
        <v>0</v>
      </c>
      <c r="IX18" s="1538"/>
      <c r="IY18" s="1537">
        <f>'План и исполнение'!OV20</f>
        <v>0</v>
      </c>
      <c r="IZ18" s="1538">
        <f>'План и исполнение'!PJ20</f>
        <v>0</v>
      </c>
      <c r="JA18" s="1529">
        <f>'Федеральные  средства  по  МО'!BP19</f>
        <v>3707600</v>
      </c>
      <c r="JB18" s="1537">
        <f>'План и исполнение'!PW20</f>
        <v>3707600</v>
      </c>
      <c r="JC18" s="1538">
        <f>'План и исполнение'!QI20</f>
        <v>0</v>
      </c>
      <c r="JD18" s="1537">
        <f>'План и исполнение'!QO20</f>
        <v>0</v>
      </c>
      <c r="JE18" s="1539">
        <f>'Федеральные  средства  по  МО'!BQ19</f>
        <v>0</v>
      </c>
      <c r="JF18" s="1538">
        <f>'План и исполнение'!PZ20</f>
        <v>0</v>
      </c>
      <c r="JG18" s="1537">
        <f>'План и исполнение'!QL20</f>
        <v>0</v>
      </c>
      <c r="JH18" s="1538">
        <f>'План и исполнение'!QR20</f>
        <v>0</v>
      </c>
      <c r="JI18" s="1529">
        <f>'Федеральные  средства  по  МО'!BL19</f>
        <v>0</v>
      </c>
      <c r="JJ18" s="1537">
        <f>'План и исполнение'!NU20</f>
        <v>0</v>
      </c>
      <c r="JK18" s="1538">
        <f>'План и исполнение'!OS20</f>
        <v>0</v>
      </c>
      <c r="JL18" s="1537">
        <f>'План и исполнение'!PG20</f>
        <v>0</v>
      </c>
      <c r="JM18" s="1539">
        <f>'Федеральные  средства  по  МО'!BM19</f>
        <v>0</v>
      </c>
      <c r="JN18" s="1538">
        <f>'План и исполнение'!NX20</f>
        <v>0</v>
      </c>
      <c r="JO18" s="1537">
        <f>'План и исполнение'!OZ20</f>
        <v>0</v>
      </c>
      <c r="JP18" s="1576">
        <f>'План и исполнение'!PN20</f>
        <v>0</v>
      </c>
    </row>
    <row r="19" spans="1:276" ht="25.5" customHeight="1" x14ac:dyDescent="0.3">
      <c r="A19" s="102" t="s">
        <v>88</v>
      </c>
      <c r="B19" s="277">
        <f t="shared" si="17"/>
        <v>4341213.26</v>
      </c>
      <c r="C19" s="1422">
        <f t="shared" si="0"/>
        <v>286126.61</v>
      </c>
      <c r="D19" s="1422">
        <f t="shared" si="1"/>
        <v>4055086.65</v>
      </c>
      <c r="E19" s="1422">
        <f t="shared" si="18"/>
        <v>0</v>
      </c>
      <c r="F19" s="277">
        <f t="shared" si="19"/>
        <v>620073.27</v>
      </c>
      <c r="G19" s="1422">
        <f t="shared" si="20"/>
        <v>286126.61</v>
      </c>
      <c r="H19" s="1422">
        <f t="shared" si="21"/>
        <v>333946.65999999997</v>
      </c>
      <c r="I19" s="1422">
        <f t="shared" si="22"/>
        <v>0</v>
      </c>
      <c r="J19" s="105"/>
      <c r="K19" s="1421">
        <f>M19-'Федеральные  средства  по  МО'!D20</f>
        <v>0</v>
      </c>
      <c r="L19" s="1421">
        <f>Q19-'Федеральные  средства  по  МО'!E20</f>
        <v>0</v>
      </c>
      <c r="M19" s="277">
        <f t="shared" si="23"/>
        <v>4341213.26</v>
      </c>
      <c r="N19" s="1422">
        <f t="shared" si="24"/>
        <v>286126.61</v>
      </c>
      <c r="O19" s="1422">
        <f t="shared" si="25"/>
        <v>4055086.65</v>
      </c>
      <c r="P19" s="1422">
        <f t="shared" si="26"/>
        <v>0</v>
      </c>
      <c r="Q19" s="277">
        <f t="shared" si="27"/>
        <v>620073.27</v>
      </c>
      <c r="R19" s="1422">
        <f t="shared" si="28"/>
        <v>286126.61</v>
      </c>
      <c r="S19" s="1422">
        <f t="shared" si="29"/>
        <v>333946.65999999997</v>
      </c>
      <c r="T19" s="1422">
        <f t="shared" si="30"/>
        <v>0</v>
      </c>
      <c r="U19" s="103">
        <f>'Федеральные  средства  по  МО'!F20</f>
        <v>0</v>
      </c>
      <c r="V19" s="1424">
        <f t="shared" si="31"/>
        <v>0</v>
      </c>
      <c r="W19" s="1426"/>
      <c r="X19" s="1424"/>
      <c r="Y19" s="101">
        <f>'Федеральные  средства  по  МО'!G20</f>
        <v>0</v>
      </c>
      <c r="Z19" s="1426">
        <f t="shared" si="32"/>
        <v>0</v>
      </c>
      <c r="AA19" s="1424"/>
      <c r="AB19" s="1425"/>
      <c r="AC19" s="104">
        <f>'Федеральные  средства  по  МО'!H20</f>
        <v>0</v>
      </c>
      <c r="AD19" s="1424">
        <f>'План и исполнение'!CQ21</f>
        <v>0</v>
      </c>
      <c r="AE19" s="1426">
        <f>'План и исполнение'!CU21</f>
        <v>0</v>
      </c>
      <c r="AF19" s="1424">
        <f>'План и исполнение'!CW21</f>
        <v>0</v>
      </c>
      <c r="AG19" s="100">
        <f>'Федеральные  средства  по  МО'!I20</f>
        <v>0</v>
      </c>
      <c r="AH19" s="1426">
        <f>'План и исполнение'!CR21</f>
        <v>0</v>
      </c>
      <c r="AI19" s="1424">
        <f>'План и исполнение'!CV21</f>
        <v>0</v>
      </c>
      <c r="AJ19" s="1426">
        <f>'План и исполнение'!CX21</f>
        <v>0</v>
      </c>
      <c r="AK19" s="101">
        <f>'Федеральные  средства  по  МО'!J20</f>
        <v>0</v>
      </c>
      <c r="AL19" s="1425"/>
      <c r="AM19" s="1426"/>
      <c r="AN19" s="1423"/>
      <c r="AO19" s="101">
        <f>'Федеральные  средства  по  МО'!K20</f>
        <v>0</v>
      </c>
      <c r="AP19" s="1426"/>
      <c r="AQ19" s="1424"/>
      <c r="AR19" s="1426"/>
      <c r="AS19" s="103">
        <f>'Федеральные  средства  по  МО'!L20</f>
        <v>0</v>
      </c>
      <c r="AT19" s="1424">
        <f t="shared" si="3"/>
        <v>0</v>
      </c>
      <c r="AU19" s="1424"/>
      <c r="AV19" s="1426"/>
      <c r="AW19" s="101">
        <f>'Федеральные  средства  по  МО'!M20</f>
        <v>0</v>
      </c>
      <c r="AX19" s="1424">
        <f t="shared" si="4"/>
        <v>0</v>
      </c>
      <c r="AY19" s="1426"/>
      <c r="AZ19" s="1424"/>
      <c r="BA19" s="104">
        <f>'Федеральные  средства  по  МО'!N20</f>
        <v>0</v>
      </c>
      <c r="BB19" s="1424">
        <f t="shared" si="5"/>
        <v>0</v>
      </c>
      <c r="BC19" s="1426"/>
      <c r="BD19" s="1424"/>
      <c r="BE19" s="104">
        <f>'Федеральные  средства  по  МО'!O20</f>
        <v>0</v>
      </c>
      <c r="BF19" s="1424">
        <f t="shared" si="6"/>
        <v>0</v>
      </c>
      <c r="BG19" s="1424"/>
      <c r="BH19" s="1426"/>
      <c r="BI19" s="1528">
        <f>'Федеральные  средства  по  МО'!P20</f>
        <v>0</v>
      </c>
      <c r="BJ19" s="1424">
        <f t="shared" si="7"/>
        <v>0</v>
      </c>
      <c r="BK19" s="1424"/>
      <c r="BL19" s="1425"/>
      <c r="BM19" s="100">
        <f>'Федеральные  средства  по  МО'!Q20</f>
        <v>0</v>
      </c>
      <c r="BN19" s="1424">
        <f t="shared" si="8"/>
        <v>0</v>
      </c>
      <c r="BO19" s="1424"/>
      <c r="BP19" s="1426"/>
      <c r="BQ19" s="101">
        <f>'Федеральные  средства  по  МО'!R20</f>
        <v>0</v>
      </c>
      <c r="BR19" s="1424">
        <f t="shared" si="9"/>
        <v>0</v>
      </c>
      <c r="BS19" s="1424"/>
      <c r="BT19" s="1425"/>
      <c r="BU19" s="104">
        <f>'Федеральные  средства  по  МО'!S20</f>
        <v>0</v>
      </c>
      <c r="BV19" s="1424">
        <f t="shared" si="10"/>
        <v>0</v>
      </c>
      <c r="BW19" s="1424"/>
      <c r="BX19" s="1426"/>
      <c r="BY19" s="103">
        <f>'Федеральные  средства  по  МО'!T20</f>
        <v>0</v>
      </c>
      <c r="BZ19" s="1424">
        <f t="shared" si="11"/>
        <v>0</v>
      </c>
      <c r="CA19" s="1426"/>
      <c r="CB19" s="1424"/>
      <c r="CC19" s="100">
        <f>'Федеральные  средства  по  МО'!U20</f>
        <v>0</v>
      </c>
      <c r="CD19" s="1424">
        <f t="shared" si="12"/>
        <v>0</v>
      </c>
      <c r="CE19" s="1424"/>
      <c r="CF19" s="1426"/>
      <c r="CG19" s="103">
        <f>'Федеральные  средства  по  МО'!V20</f>
        <v>0</v>
      </c>
      <c r="CH19" s="1424"/>
      <c r="CI19" s="1426"/>
      <c r="CJ19" s="1424"/>
      <c r="CK19" s="100">
        <f>'Федеральные  средства  по  МО'!W20</f>
        <v>0</v>
      </c>
      <c r="CL19" s="1426"/>
      <c r="CM19" s="1424"/>
      <c r="CN19" s="1426"/>
      <c r="CO19" s="103">
        <f>'Федеральные  средства  по  МО'!X20</f>
        <v>0</v>
      </c>
      <c r="CP19" s="1424">
        <f t="shared" si="13"/>
        <v>0</v>
      </c>
      <c r="CQ19" s="1426"/>
      <c r="CR19" s="1424"/>
      <c r="CS19" s="100">
        <f>'Федеральные  средства  по  МО'!Y20</f>
        <v>0</v>
      </c>
      <c r="CT19" s="1424">
        <f t="shared" si="33"/>
        <v>0</v>
      </c>
      <c r="CU19" s="1424"/>
      <c r="CV19" s="1426"/>
      <c r="CW19" s="103">
        <f>'Федеральные  средства  по  МО'!Z20</f>
        <v>0</v>
      </c>
      <c r="CX19" s="1424"/>
      <c r="CY19" s="1424"/>
      <c r="CZ19" s="1426"/>
      <c r="DA19" s="101">
        <f>'Федеральные  средства  по  МО'!AA20</f>
        <v>0</v>
      </c>
      <c r="DB19" s="1426"/>
      <c r="DC19" s="1424"/>
      <c r="DD19" s="1426"/>
      <c r="DE19" s="103">
        <f>'Федеральные  средства  по  МО'!AB20</f>
        <v>0</v>
      </c>
      <c r="DF19" s="1424"/>
      <c r="DG19" s="1426"/>
      <c r="DH19" s="1424"/>
      <c r="DI19" s="100">
        <f>'Федеральные  средства  по  МО'!AC20</f>
        <v>0</v>
      </c>
      <c r="DJ19" s="1426"/>
      <c r="DK19" s="1424"/>
      <c r="DL19" s="1426"/>
      <c r="DM19" s="103">
        <f>'Федеральные  средства  по  МО'!AD20</f>
        <v>0</v>
      </c>
      <c r="DN19" s="1424">
        <f t="shared" si="14"/>
        <v>0</v>
      </c>
      <c r="DO19" s="1426"/>
      <c r="DP19" s="1424"/>
      <c r="DQ19" s="100">
        <f>'Федеральные  средства  по  МО'!AE20</f>
        <v>0</v>
      </c>
      <c r="DR19" s="1424">
        <f t="shared" si="15"/>
        <v>0</v>
      </c>
      <c r="DS19" s="1424"/>
      <c r="DT19" s="1426"/>
      <c r="DU19" s="103">
        <f>'Федеральные  средства  по  МО'!AF20</f>
        <v>0</v>
      </c>
      <c r="DV19" s="1424">
        <f>'План и исполнение'!GK21</f>
        <v>0</v>
      </c>
      <c r="DW19" s="1424">
        <f>'План и исполнение'!HE21</f>
        <v>0</v>
      </c>
      <c r="DX19" s="1426">
        <f>'План и исполнение'!HO21</f>
        <v>0</v>
      </c>
      <c r="DY19" s="101">
        <f>'Федеральные  средства  по  МО'!AG20</f>
        <v>0</v>
      </c>
      <c r="DZ19" s="1426">
        <f>'План и исполнение'!GP21</f>
        <v>0</v>
      </c>
      <c r="EA19" s="1424">
        <f>'План и исполнение'!HJ21</f>
        <v>0</v>
      </c>
      <c r="EB19" s="1426">
        <f>'План и исполнение'!HT21</f>
        <v>0</v>
      </c>
      <c r="EC19" s="103">
        <f>'Федеральные  средства  по  МО'!AH20</f>
        <v>0</v>
      </c>
      <c r="ED19" s="1424"/>
      <c r="EE19" s="1426"/>
      <c r="EF19" s="1424"/>
      <c r="EG19" s="100">
        <f>'Федеральные  средства  по  МО'!AI20</f>
        <v>0</v>
      </c>
      <c r="EH19" s="1426"/>
      <c r="EI19" s="1424"/>
      <c r="EJ19" s="1426"/>
      <c r="EK19" s="103">
        <f>'Федеральные  средства  по  МО'!AJ20</f>
        <v>0</v>
      </c>
      <c r="EL19" s="1424">
        <f t="shared" si="34"/>
        <v>0</v>
      </c>
      <c r="EM19" s="1426"/>
      <c r="EN19" s="1424"/>
      <c r="EO19" s="100">
        <f>'Федеральные  средства  по  МО'!AK20</f>
        <v>0</v>
      </c>
      <c r="EP19" s="1424">
        <f t="shared" si="35"/>
        <v>0</v>
      </c>
      <c r="EQ19" s="1424"/>
      <c r="ER19" s="1426"/>
      <c r="ES19" s="103">
        <f>'Федеральные  средства  по  МО'!AL20</f>
        <v>0</v>
      </c>
      <c r="ET19" s="1424">
        <f t="shared" si="36"/>
        <v>0</v>
      </c>
      <c r="EU19" s="1426"/>
      <c r="EV19" s="1424"/>
      <c r="EW19" s="100">
        <f>'Федеральные  средства  по  МО'!AM20</f>
        <v>0</v>
      </c>
      <c r="EX19" s="1425">
        <f t="shared" si="37"/>
        <v>0</v>
      </c>
      <c r="EY19" s="1424"/>
      <c r="EZ19" s="1426"/>
      <c r="FA19" s="103">
        <f>'Федеральные  средства  по  МО'!AN20</f>
        <v>0</v>
      </c>
      <c r="FB19" s="1424"/>
      <c r="FC19" s="1426"/>
      <c r="FD19" s="1424"/>
      <c r="FE19" s="100">
        <f>'Федеральные  средства  по  МО'!AO20</f>
        <v>0</v>
      </c>
      <c r="FF19" s="1426"/>
      <c r="FG19" s="1424"/>
      <c r="FH19" s="1426"/>
      <c r="FI19" s="103">
        <f>'Федеральные  средства  по  МО'!AP20</f>
        <v>643948.99</v>
      </c>
      <c r="FJ19" s="1424">
        <f>'План и исполнение'!IO21</f>
        <v>286126.61</v>
      </c>
      <c r="FK19" s="1426">
        <f>'План и исполнение'!JA21</f>
        <v>357822.38</v>
      </c>
      <c r="FL19" s="1424">
        <f>'План и исполнение'!JG21</f>
        <v>0</v>
      </c>
      <c r="FM19" s="100">
        <f>'Федеральные  средства  по  МО'!AQ20</f>
        <v>620073.27</v>
      </c>
      <c r="FN19" s="1426">
        <f>'План и исполнение'!IR21</f>
        <v>286126.61</v>
      </c>
      <c r="FO19" s="1424">
        <f>'План и исполнение'!JD21</f>
        <v>333946.65999999997</v>
      </c>
      <c r="FP19" s="1426">
        <f>'План и исполнение'!JJ21</f>
        <v>0</v>
      </c>
      <c r="FQ19" s="103">
        <f>'Федеральные  средства  по  МО'!AR20</f>
        <v>0</v>
      </c>
      <c r="FR19" s="1424">
        <f t="shared" si="38"/>
        <v>0</v>
      </c>
      <c r="FS19" s="1426"/>
      <c r="FT19" s="1424"/>
      <c r="FU19" s="100">
        <f>'Федеральные  средства  по  МО'!AS20</f>
        <v>0</v>
      </c>
      <c r="FV19" s="1424">
        <f t="shared" si="39"/>
        <v>0</v>
      </c>
      <c r="FW19" s="1424"/>
      <c r="FX19" s="1426"/>
      <c r="FY19" s="103">
        <f>'Федеральные  средства  по  МО'!AT20</f>
        <v>0</v>
      </c>
      <c r="FZ19" s="1424">
        <f>'План и исполнение'!JU21</f>
        <v>0</v>
      </c>
      <c r="GA19" s="1426">
        <f>'План и исполнение'!KO21</f>
        <v>0</v>
      </c>
      <c r="GB19" s="1424">
        <f>'План и исполнение'!KY21</f>
        <v>0</v>
      </c>
      <c r="GC19" s="100">
        <f>'Федеральные  средства  по  МО'!AU20</f>
        <v>0</v>
      </c>
      <c r="GD19" s="1426">
        <f>'План и исполнение'!JZ21</f>
        <v>0</v>
      </c>
      <c r="GE19" s="1424">
        <f>'План и исполнение'!KT21</f>
        <v>0</v>
      </c>
      <c r="GF19" s="1426">
        <f>'План и исполнение'!LD21</f>
        <v>0</v>
      </c>
      <c r="GG19" s="103">
        <f>'Федеральные  средства  по  МО'!AV20</f>
        <v>0</v>
      </c>
      <c r="GH19" s="1424"/>
      <c r="GI19" s="1426">
        <f>'План и исполнение'!KM21</f>
        <v>0</v>
      </c>
      <c r="GJ19" s="1424">
        <f>'План и исполнение'!KW21</f>
        <v>0</v>
      </c>
      <c r="GK19" s="100">
        <f>'Федеральные  средства  по  МО'!AW20</f>
        <v>0</v>
      </c>
      <c r="GL19" s="1426"/>
      <c r="GM19" s="1424">
        <f>'План и исполнение'!KR21</f>
        <v>0</v>
      </c>
      <c r="GN19" s="1426">
        <f>'План и исполнение'!LB21</f>
        <v>0</v>
      </c>
      <c r="GO19" s="103">
        <f>'Федеральные  средства  по  МО'!AX20</f>
        <v>0</v>
      </c>
      <c r="GP19" s="1424">
        <f t="shared" si="40"/>
        <v>0</v>
      </c>
      <c r="GQ19" s="1426"/>
      <c r="GR19" s="1424"/>
      <c r="GS19" s="104">
        <f>'Федеральные  средства  по  МО'!AY20</f>
        <v>0</v>
      </c>
      <c r="GT19" s="1424">
        <f t="shared" si="16"/>
        <v>0</v>
      </c>
      <c r="GU19" s="1426"/>
      <c r="GV19" s="1424"/>
      <c r="GW19" s="104">
        <f>'Федеральные  средства  по  МО'!AZ20</f>
        <v>0</v>
      </c>
      <c r="GX19" s="1424"/>
      <c r="GY19" s="1426"/>
      <c r="GZ19" s="1424"/>
      <c r="HA19" s="100">
        <f>'Федеральные  средства  по  МО'!BA20</f>
        <v>0</v>
      </c>
      <c r="HB19" s="1426"/>
      <c r="HC19" s="1424"/>
      <c r="HD19" s="1426"/>
      <c r="HE19" s="103">
        <f>'Федеральные  средства  по  МО'!BB20</f>
        <v>0</v>
      </c>
      <c r="HF19" s="1424"/>
      <c r="HG19" s="1426"/>
      <c r="HH19" s="1424"/>
      <c r="HI19" s="104">
        <f>'Федеральные  средства  по  МО'!BC20</f>
        <v>0</v>
      </c>
      <c r="HJ19" s="1424"/>
      <c r="HK19" s="1426"/>
      <c r="HL19" s="1424"/>
      <c r="HM19" s="104">
        <f>'Федеральные  средства  по  МО'!BD20</f>
        <v>0</v>
      </c>
      <c r="HN19" s="1424"/>
      <c r="HO19" s="1426"/>
      <c r="HP19" s="1424"/>
      <c r="HQ19" s="100">
        <f>'Федеральные  средства  по  МО'!BE20</f>
        <v>0</v>
      </c>
      <c r="HR19" s="1426"/>
      <c r="HS19" s="1424"/>
      <c r="HT19" s="1426"/>
      <c r="HU19" s="103">
        <f>'Федеральные  средства  по  МО'!BF20</f>
        <v>0</v>
      </c>
      <c r="HV19" s="1424"/>
      <c r="HW19" s="1426"/>
      <c r="HX19" s="1424">
        <f>'План и исполнение'!NM21</f>
        <v>0</v>
      </c>
      <c r="HY19" s="100">
        <f>'Федеральные  средства  по  МО'!BG20</f>
        <v>0</v>
      </c>
      <c r="HZ19" s="1426"/>
      <c r="IA19" s="1424"/>
      <c r="IB19" s="1426">
        <f>'План и исполнение'!NQ21</f>
        <v>0</v>
      </c>
      <c r="IC19" s="103">
        <f>'Федеральные  средства  по  МО'!BJ20</f>
        <v>3697264.27</v>
      </c>
      <c r="ID19" s="1424"/>
      <c r="IE19" s="1426">
        <f>'План и исполнение'!OQ21</f>
        <v>3697264.27</v>
      </c>
      <c r="IF19" s="1424">
        <f>'План и исполнение'!PE21</f>
        <v>0</v>
      </c>
      <c r="IG19" s="100">
        <f>'Федеральные  средства  по  МО'!BK20</f>
        <v>0</v>
      </c>
      <c r="IH19" s="1426"/>
      <c r="II19" s="1424">
        <f>'План и исполнение'!OX21</f>
        <v>0</v>
      </c>
      <c r="IJ19" s="1426">
        <f>'План и исполнение'!PL21</f>
        <v>0</v>
      </c>
      <c r="IK19" s="103">
        <f>'Федеральные  средства  по  МО'!BN20</f>
        <v>0</v>
      </c>
      <c r="IL19" s="1424"/>
      <c r="IM19" s="1426"/>
      <c r="IN19" s="1424"/>
      <c r="IO19" s="100">
        <f>'Федеральные  средства  по  МО'!BO20</f>
        <v>0</v>
      </c>
      <c r="IP19" s="1426"/>
      <c r="IQ19" s="1424"/>
      <c r="IR19" s="1426"/>
      <c r="IS19" s="103">
        <f>'Федеральные  средства  по  МО'!BH20</f>
        <v>0</v>
      </c>
      <c r="IT19" s="1424"/>
      <c r="IU19" s="1426">
        <f>'План и исполнение'!OO21</f>
        <v>0</v>
      </c>
      <c r="IV19" s="1424">
        <f>'План и исполнение'!PC21</f>
        <v>0</v>
      </c>
      <c r="IW19" s="100">
        <f>'Федеральные  средства  по  МО'!BI20</f>
        <v>0</v>
      </c>
      <c r="IX19" s="1426"/>
      <c r="IY19" s="1424">
        <f>'План и исполнение'!OV21</f>
        <v>0</v>
      </c>
      <c r="IZ19" s="1426">
        <f>'План и исполнение'!PJ21</f>
        <v>0</v>
      </c>
      <c r="JA19" s="103">
        <f>'Федеральные  средства  по  МО'!BP20</f>
        <v>0</v>
      </c>
      <c r="JB19" s="1424">
        <f>'План и исполнение'!PW21</f>
        <v>0</v>
      </c>
      <c r="JC19" s="1426">
        <f>'План и исполнение'!QI21</f>
        <v>0</v>
      </c>
      <c r="JD19" s="1424">
        <f>'План и исполнение'!QO21</f>
        <v>0</v>
      </c>
      <c r="JE19" s="100">
        <f>'Федеральные  средства  по  МО'!BQ20</f>
        <v>0</v>
      </c>
      <c r="JF19" s="1426">
        <f>'План и исполнение'!PZ21</f>
        <v>0</v>
      </c>
      <c r="JG19" s="1424">
        <f>'План и исполнение'!QL21</f>
        <v>0</v>
      </c>
      <c r="JH19" s="1426">
        <f>'План и исполнение'!QR21</f>
        <v>0</v>
      </c>
      <c r="JI19" s="103">
        <f>'Федеральные  средства  по  МО'!BL20</f>
        <v>0</v>
      </c>
      <c r="JJ19" s="1424">
        <f>'План и исполнение'!NU21</f>
        <v>0</v>
      </c>
      <c r="JK19" s="1426">
        <f>'План и исполнение'!OS21</f>
        <v>0</v>
      </c>
      <c r="JL19" s="1424">
        <f>'План и исполнение'!PG21</f>
        <v>0</v>
      </c>
      <c r="JM19" s="100">
        <f>'Федеральные  средства  по  МО'!BM20</f>
        <v>0</v>
      </c>
      <c r="JN19" s="1426">
        <f>'План и исполнение'!NX21</f>
        <v>0</v>
      </c>
      <c r="JO19" s="1424">
        <f>'План и исполнение'!OZ21</f>
        <v>0</v>
      </c>
      <c r="JP19" s="1425">
        <f>'План и исполнение'!PN21</f>
        <v>0</v>
      </c>
    </row>
    <row r="20" spans="1:276" ht="25.5" customHeight="1" x14ac:dyDescent="0.3">
      <c r="A20" s="105" t="s">
        <v>89</v>
      </c>
      <c r="B20" s="277">
        <f t="shared" si="17"/>
        <v>68439142.039999992</v>
      </c>
      <c r="C20" s="1422">
        <f t="shared" si="0"/>
        <v>45487878.520000003</v>
      </c>
      <c r="D20" s="1422">
        <f t="shared" si="1"/>
        <v>5081540.2600000007</v>
      </c>
      <c r="E20" s="1422">
        <f t="shared" si="18"/>
        <v>17869723.259999998</v>
      </c>
      <c r="F20" s="277">
        <f t="shared" si="19"/>
        <v>5814824.4300000006</v>
      </c>
      <c r="G20" s="1422">
        <f t="shared" si="20"/>
        <v>0</v>
      </c>
      <c r="H20" s="1422">
        <f t="shared" si="21"/>
        <v>3514140.0200000005</v>
      </c>
      <c r="I20" s="1422">
        <f t="shared" si="22"/>
        <v>2300684.41</v>
      </c>
      <c r="J20" s="105"/>
      <c r="K20" s="1421">
        <f>M20-'Федеральные  средства  по  МО'!D21</f>
        <v>0</v>
      </c>
      <c r="L20" s="1421">
        <f>Q20-'Федеральные  средства  по  МО'!E21</f>
        <v>0</v>
      </c>
      <c r="M20" s="277">
        <f t="shared" si="23"/>
        <v>103903967.62</v>
      </c>
      <c r="N20" s="1422">
        <f t="shared" si="24"/>
        <v>45487878.520000003</v>
      </c>
      <c r="O20" s="1422">
        <f t="shared" si="25"/>
        <v>5081540.2600000007</v>
      </c>
      <c r="P20" s="1422">
        <f t="shared" si="26"/>
        <v>53334548.839999996</v>
      </c>
      <c r="Q20" s="277">
        <f t="shared" si="27"/>
        <v>16454272.1</v>
      </c>
      <c r="R20" s="1422">
        <f t="shared" si="28"/>
        <v>0</v>
      </c>
      <c r="S20" s="1422">
        <f t="shared" si="29"/>
        <v>3514140.0200000005</v>
      </c>
      <c r="T20" s="1422">
        <f t="shared" si="30"/>
        <v>12940132.08</v>
      </c>
      <c r="U20" s="103">
        <f>'Федеральные  средства  по  МО'!F21</f>
        <v>0</v>
      </c>
      <c r="V20" s="1424">
        <f t="shared" si="31"/>
        <v>0</v>
      </c>
      <c r="W20" s="1426"/>
      <c r="X20" s="1424"/>
      <c r="Y20" s="101">
        <f>'Федеральные  средства  по  МО'!G21</f>
        <v>0</v>
      </c>
      <c r="Z20" s="1426">
        <f t="shared" si="32"/>
        <v>0</v>
      </c>
      <c r="AA20" s="1424"/>
      <c r="AB20" s="1425"/>
      <c r="AC20" s="1521">
        <f>'Федеральные  средства  по  МО'!H21</f>
        <v>35464825.579999998</v>
      </c>
      <c r="AD20" s="1537">
        <f>'План и исполнение'!CQ22</f>
        <v>0</v>
      </c>
      <c r="AE20" s="1538">
        <f>'План и исполнение'!CU22</f>
        <v>0</v>
      </c>
      <c r="AF20" s="1537">
        <f>'План и исполнение'!CW22</f>
        <v>35464825.579999998</v>
      </c>
      <c r="AG20" s="1539">
        <f>'Федеральные  средства  по  МО'!I21</f>
        <v>10639447.67</v>
      </c>
      <c r="AH20" s="1538">
        <f>'План и исполнение'!CR22</f>
        <v>0</v>
      </c>
      <c r="AI20" s="1537">
        <f>'План и исполнение'!CV22</f>
        <v>0</v>
      </c>
      <c r="AJ20" s="1538">
        <f>'План и исполнение'!CX22</f>
        <v>10639447.67</v>
      </c>
      <c r="AK20" s="1575">
        <f>'Федеральные  средства  по  МО'!J21</f>
        <v>0</v>
      </c>
      <c r="AL20" s="1576"/>
      <c r="AM20" s="1538"/>
      <c r="AN20" s="1577"/>
      <c r="AO20" s="1575">
        <f>'Федеральные  средства  по  МО'!K21</f>
        <v>0</v>
      </c>
      <c r="AP20" s="1538"/>
      <c r="AQ20" s="1537"/>
      <c r="AR20" s="1538"/>
      <c r="AS20" s="1529">
        <f>'Федеральные  средства  по  МО'!L21</f>
        <v>2664000</v>
      </c>
      <c r="AT20" s="1537">
        <f t="shared" si="3"/>
        <v>2664000</v>
      </c>
      <c r="AU20" s="1537"/>
      <c r="AV20" s="1538"/>
      <c r="AW20" s="1575">
        <f>'Федеральные  средства  по  МО'!M21</f>
        <v>0</v>
      </c>
      <c r="AX20" s="1537">
        <f t="shared" si="4"/>
        <v>0</v>
      </c>
      <c r="AY20" s="1538"/>
      <c r="AZ20" s="1537"/>
      <c r="BA20" s="1546">
        <f>'Федеральные  средства  по  МО'!N21</f>
        <v>0</v>
      </c>
      <c r="BB20" s="1537">
        <f t="shared" si="5"/>
        <v>0</v>
      </c>
      <c r="BC20" s="1538"/>
      <c r="BD20" s="1537"/>
      <c r="BE20" s="1546">
        <f>'Федеральные  средства  по  МО'!O21</f>
        <v>0</v>
      </c>
      <c r="BF20" s="1537">
        <f t="shared" si="6"/>
        <v>0</v>
      </c>
      <c r="BG20" s="1537"/>
      <c r="BH20" s="1538"/>
      <c r="BI20" s="1578">
        <f>'Федеральные  средства  по  МО'!P21</f>
        <v>2383000</v>
      </c>
      <c r="BJ20" s="1537">
        <f t="shared" si="7"/>
        <v>2383000</v>
      </c>
      <c r="BK20" s="1537"/>
      <c r="BL20" s="1576"/>
      <c r="BM20" s="1539">
        <f>'Федеральные  средства  по  МО'!Q21</f>
        <v>0</v>
      </c>
      <c r="BN20" s="1537">
        <f t="shared" si="8"/>
        <v>0</v>
      </c>
      <c r="BO20" s="1537"/>
      <c r="BP20" s="1538"/>
      <c r="BQ20" s="1575">
        <f>'Федеральные  средства  по  МО'!R21</f>
        <v>0</v>
      </c>
      <c r="BR20" s="1537">
        <f t="shared" si="9"/>
        <v>0</v>
      </c>
      <c r="BS20" s="1537"/>
      <c r="BT20" s="1576"/>
      <c r="BU20" s="1546">
        <f>'Федеральные  средства  по  МО'!S21</f>
        <v>0</v>
      </c>
      <c r="BV20" s="1537">
        <f t="shared" si="10"/>
        <v>0</v>
      </c>
      <c r="BW20" s="1537"/>
      <c r="BX20" s="1538"/>
      <c r="BY20" s="1529">
        <f>'Федеральные  средства  по  МО'!T21</f>
        <v>40000000</v>
      </c>
      <c r="BZ20" s="1537">
        <f t="shared" si="11"/>
        <v>40000000</v>
      </c>
      <c r="CA20" s="1538"/>
      <c r="CB20" s="1537"/>
      <c r="CC20" s="1539">
        <f>'Федеральные  средства  по  МО'!U21</f>
        <v>0</v>
      </c>
      <c r="CD20" s="1537">
        <f t="shared" si="12"/>
        <v>0</v>
      </c>
      <c r="CE20" s="1537"/>
      <c r="CF20" s="1538"/>
      <c r="CG20" s="1529">
        <f>'Федеральные  средства  по  МО'!V21</f>
        <v>0</v>
      </c>
      <c r="CH20" s="1537"/>
      <c r="CI20" s="1538"/>
      <c r="CJ20" s="1537"/>
      <c r="CK20" s="1539">
        <f>'Федеральные  средства  по  МО'!W21</f>
        <v>0</v>
      </c>
      <c r="CL20" s="1538"/>
      <c r="CM20" s="1537"/>
      <c r="CN20" s="1538"/>
      <c r="CO20" s="1529">
        <f>'Федеральные  средства  по  МО'!X21</f>
        <v>0</v>
      </c>
      <c r="CP20" s="1537">
        <f t="shared" si="13"/>
        <v>0</v>
      </c>
      <c r="CQ20" s="1538"/>
      <c r="CR20" s="1537"/>
      <c r="CS20" s="1539">
        <f>'Федеральные  средства  по  МО'!Y21</f>
        <v>0</v>
      </c>
      <c r="CT20" s="1537">
        <f t="shared" si="33"/>
        <v>0</v>
      </c>
      <c r="CU20" s="1537"/>
      <c r="CV20" s="1538"/>
      <c r="CW20" s="1529">
        <f>'Федеральные  средства  по  МО'!Z21</f>
        <v>0</v>
      </c>
      <c r="CX20" s="1537"/>
      <c r="CY20" s="1537"/>
      <c r="CZ20" s="1538"/>
      <c r="DA20" s="1575">
        <f>'Федеральные  средства  по  МО'!AA21</f>
        <v>0</v>
      </c>
      <c r="DB20" s="1538"/>
      <c r="DC20" s="1537"/>
      <c r="DD20" s="1538"/>
      <c r="DE20" s="1529">
        <f>'Федеральные  средства  по  МО'!AB21</f>
        <v>0</v>
      </c>
      <c r="DF20" s="1537"/>
      <c r="DG20" s="1538"/>
      <c r="DH20" s="1537"/>
      <c r="DI20" s="1539">
        <f>'Федеральные  средства  по  МО'!AC21</f>
        <v>0</v>
      </c>
      <c r="DJ20" s="1538"/>
      <c r="DK20" s="1537"/>
      <c r="DL20" s="1538"/>
      <c r="DM20" s="1529">
        <f>'Федеральные  средства  по  МО'!AD21</f>
        <v>0</v>
      </c>
      <c r="DN20" s="1537">
        <f t="shared" si="14"/>
        <v>0</v>
      </c>
      <c r="DO20" s="1538"/>
      <c r="DP20" s="1537"/>
      <c r="DQ20" s="1539">
        <f>'Федеральные  средства  по  МО'!AE21</f>
        <v>0</v>
      </c>
      <c r="DR20" s="1537">
        <f t="shared" si="15"/>
        <v>0</v>
      </c>
      <c r="DS20" s="1537"/>
      <c r="DT20" s="1538"/>
      <c r="DU20" s="1529">
        <f>'Федеральные  средства  по  МО'!AF21</f>
        <v>0</v>
      </c>
      <c r="DV20" s="1537">
        <f>'План и исполнение'!GK22</f>
        <v>0</v>
      </c>
      <c r="DW20" s="1537">
        <f>'План и исполнение'!HE22</f>
        <v>0</v>
      </c>
      <c r="DX20" s="1538">
        <f>'План и исполнение'!HO22</f>
        <v>0</v>
      </c>
      <c r="DY20" s="1575">
        <f>'Федеральные  средства  по  МО'!AG21</f>
        <v>0</v>
      </c>
      <c r="DZ20" s="1538">
        <f>'План и исполнение'!GP22</f>
        <v>0</v>
      </c>
      <c r="EA20" s="1537">
        <f>'План и исполнение'!HJ22</f>
        <v>0</v>
      </c>
      <c r="EB20" s="1538">
        <f>'План и исполнение'!HT22</f>
        <v>0</v>
      </c>
      <c r="EC20" s="1529">
        <f>'Федеральные  средства  по  МО'!AH21</f>
        <v>0</v>
      </c>
      <c r="ED20" s="1537"/>
      <c r="EE20" s="1538"/>
      <c r="EF20" s="1537"/>
      <c r="EG20" s="1539">
        <f>'Федеральные  средства  по  МО'!AI21</f>
        <v>0</v>
      </c>
      <c r="EH20" s="1538"/>
      <c r="EI20" s="1537"/>
      <c r="EJ20" s="1538"/>
      <c r="EK20" s="1529">
        <f>'Федеральные  средства  по  МО'!AJ21</f>
        <v>0</v>
      </c>
      <c r="EL20" s="1537">
        <f t="shared" si="34"/>
        <v>0</v>
      </c>
      <c r="EM20" s="1538"/>
      <c r="EN20" s="1537"/>
      <c r="EO20" s="1539">
        <f>'Федеральные  средства  по  МО'!AK21</f>
        <v>0</v>
      </c>
      <c r="EP20" s="1537">
        <f t="shared" si="35"/>
        <v>0</v>
      </c>
      <c r="EQ20" s="1537"/>
      <c r="ER20" s="1538"/>
      <c r="ES20" s="103">
        <f>'Федеральные  средства  по  МО'!AL21</f>
        <v>0</v>
      </c>
      <c r="ET20" s="1424">
        <f t="shared" si="36"/>
        <v>0</v>
      </c>
      <c r="EU20" s="1426"/>
      <c r="EV20" s="1424"/>
      <c r="EW20" s="100">
        <f>'Федеральные  средства  по  МО'!AM21</f>
        <v>0</v>
      </c>
      <c r="EX20" s="1576">
        <f t="shared" si="37"/>
        <v>0</v>
      </c>
      <c r="EY20" s="1537"/>
      <c r="EZ20" s="1538"/>
      <c r="FA20" s="1529">
        <f>'Федеральные  средства  по  МО'!AN21</f>
        <v>0</v>
      </c>
      <c r="FB20" s="1537"/>
      <c r="FC20" s="1538"/>
      <c r="FD20" s="1537"/>
      <c r="FE20" s="1539">
        <f>'Федеральные  средства  по  МО'!AO21</f>
        <v>0</v>
      </c>
      <c r="FF20" s="1538"/>
      <c r="FG20" s="1537"/>
      <c r="FH20" s="1538"/>
      <c r="FI20" s="1529">
        <f>'Федеральные  средства  по  МО'!AP21</f>
        <v>2796717.7600000002</v>
      </c>
      <c r="FJ20" s="1537">
        <f>'План и исполнение'!IO22</f>
        <v>440878.52</v>
      </c>
      <c r="FK20" s="1538">
        <f>'План и исполнение'!JA22</f>
        <v>1016115.9800000002</v>
      </c>
      <c r="FL20" s="1537">
        <f>'План и исполнение'!JG22</f>
        <v>1339723.26</v>
      </c>
      <c r="FM20" s="1539">
        <f>'Федеральные  средства  по  МО'!AQ21</f>
        <v>1662589.78</v>
      </c>
      <c r="FN20" s="1538">
        <f>'План и исполнение'!IR22</f>
        <v>0</v>
      </c>
      <c r="FO20" s="1537">
        <f>'План и исполнение'!JD22</f>
        <v>968244.8</v>
      </c>
      <c r="FP20" s="1538">
        <f>'План и исполнение'!JJ22</f>
        <v>694344.98</v>
      </c>
      <c r="FQ20" s="1529">
        <f>'Федеральные  средства  по  МО'!AR21</f>
        <v>0</v>
      </c>
      <c r="FR20" s="1537">
        <f t="shared" si="38"/>
        <v>0</v>
      </c>
      <c r="FS20" s="1538"/>
      <c r="FT20" s="1537"/>
      <c r="FU20" s="1539">
        <f>'Федеральные  средства  по  МО'!AS21</f>
        <v>0</v>
      </c>
      <c r="FV20" s="1537">
        <f t="shared" si="39"/>
        <v>0</v>
      </c>
      <c r="FW20" s="1537"/>
      <c r="FX20" s="1538"/>
      <c r="FY20" s="1529">
        <f>'Федеральные  средства  по  МО'!AT21</f>
        <v>0</v>
      </c>
      <c r="FZ20" s="1537">
        <f>'План и исполнение'!JU22</f>
        <v>0</v>
      </c>
      <c r="GA20" s="1538">
        <f>'План и исполнение'!KO22</f>
        <v>0</v>
      </c>
      <c r="GB20" s="1537">
        <f>'План и исполнение'!KY22</f>
        <v>0</v>
      </c>
      <c r="GC20" s="1539">
        <f>'Федеральные  средства  по  МО'!AU21</f>
        <v>0</v>
      </c>
      <c r="GD20" s="1538">
        <f>'План и исполнение'!JZ22</f>
        <v>0</v>
      </c>
      <c r="GE20" s="1537">
        <f>'План и исполнение'!KT22</f>
        <v>0</v>
      </c>
      <c r="GF20" s="1538">
        <f>'План и исполнение'!LD22</f>
        <v>0</v>
      </c>
      <c r="GG20" s="1529">
        <f>'Федеральные  средства  по  МО'!AV21</f>
        <v>0</v>
      </c>
      <c r="GH20" s="1537"/>
      <c r="GI20" s="1538">
        <f>'План и исполнение'!KM22</f>
        <v>0</v>
      </c>
      <c r="GJ20" s="1537">
        <f>'План и исполнение'!KW22</f>
        <v>0</v>
      </c>
      <c r="GK20" s="1539">
        <f>'Федеральные  средства  по  МО'!AW21</f>
        <v>0</v>
      </c>
      <c r="GL20" s="1538"/>
      <c r="GM20" s="1537">
        <f>'План и исполнение'!KR22</f>
        <v>0</v>
      </c>
      <c r="GN20" s="1538">
        <f>'План и исполнение'!LB22</f>
        <v>0</v>
      </c>
      <c r="GO20" s="1529">
        <f>'Федеральные  средства  по  МО'!AX21</f>
        <v>0</v>
      </c>
      <c r="GP20" s="1537">
        <f t="shared" si="40"/>
        <v>0</v>
      </c>
      <c r="GQ20" s="1538"/>
      <c r="GR20" s="1537"/>
      <c r="GS20" s="1546">
        <f>'Федеральные  средства  по  МО'!AY21</f>
        <v>0</v>
      </c>
      <c r="GT20" s="1537">
        <f t="shared" si="16"/>
        <v>0</v>
      </c>
      <c r="GU20" s="1538"/>
      <c r="GV20" s="1537"/>
      <c r="GW20" s="1546">
        <f>'Федеральные  средства  по  МО'!AZ21</f>
        <v>0</v>
      </c>
      <c r="GX20" s="1537"/>
      <c r="GY20" s="1538"/>
      <c r="GZ20" s="1537"/>
      <c r="HA20" s="1539">
        <f>'Федеральные  средства  по  МО'!BA21</f>
        <v>0</v>
      </c>
      <c r="HB20" s="1538"/>
      <c r="HC20" s="1537"/>
      <c r="HD20" s="1538"/>
      <c r="HE20" s="1529">
        <f>'Федеральные  средства  по  МО'!BB21</f>
        <v>0</v>
      </c>
      <c r="HF20" s="1537"/>
      <c r="HG20" s="1538"/>
      <c r="HH20" s="1537"/>
      <c r="HI20" s="1546">
        <f>'Федеральные  средства  по  МО'!BC21</f>
        <v>0</v>
      </c>
      <c r="HJ20" s="1537"/>
      <c r="HK20" s="1538"/>
      <c r="HL20" s="1537"/>
      <c r="HM20" s="1546">
        <f>'Федеральные  средства  по  МО'!BD21</f>
        <v>0</v>
      </c>
      <c r="HN20" s="1537"/>
      <c r="HO20" s="1538"/>
      <c r="HP20" s="1537"/>
      <c r="HQ20" s="1539">
        <f>'Федеральные  средства  по  МО'!BE21</f>
        <v>0</v>
      </c>
      <c r="HR20" s="1538"/>
      <c r="HS20" s="1537"/>
      <c r="HT20" s="1538"/>
      <c r="HU20" s="1529">
        <f>'Федеральные  средства  по  МО'!BF21</f>
        <v>16530000</v>
      </c>
      <c r="HV20" s="1537"/>
      <c r="HW20" s="1538"/>
      <c r="HX20" s="1537">
        <f>'План и исполнение'!NM22</f>
        <v>16530000</v>
      </c>
      <c r="HY20" s="1539">
        <f>'Федеральные  средства  по  МО'!BG21</f>
        <v>1606339.43</v>
      </c>
      <c r="HZ20" s="1538"/>
      <c r="IA20" s="1537"/>
      <c r="IB20" s="1538">
        <f>'План и исполнение'!NQ22</f>
        <v>1606339.43</v>
      </c>
      <c r="IC20" s="1529">
        <f>'Федеральные  средства  по  МО'!BJ21</f>
        <v>4065424.2800000003</v>
      </c>
      <c r="ID20" s="1537"/>
      <c r="IE20" s="1538">
        <f>'План и исполнение'!OQ22</f>
        <v>4065424.2800000003</v>
      </c>
      <c r="IF20" s="1537">
        <f>'План и исполнение'!PE22</f>
        <v>0</v>
      </c>
      <c r="IG20" s="1539">
        <f>'Федеральные  средства  по  МО'!BK21</f>
        <v>2545895.2200000002</v>
      </c>
      <c r="IH20" s="1538"/>
      <c r="II20" s="1537">
        <f>'План и исполнение'!OX22</f>
        <v>2545895.2200000002</v>
      </c>
      <c r="IJ20" s="1538">
        <f>'План и исполнение'!PL22</f>
        <v>0</v>
      </c>
      <c r="IK20" s="1529">
        <f>'Федеральные  средства  по  МО'!BN21</f>
        <v>0</v>
      </c>
      <c r="IL20" s="1537"/>
      <c r="IM20" s="1538"/>
      <c r="IN20" s="1537"/>
      <c r="IO20" s="1539">
        <f>'Федеральные  средства  по  МО'!BO21</f>
        <v>0</v>
      </c>
      <c r="IP20" s="1538"/>
      <c r="IQ20" s="1537"/>
      <c r="IR20" s="1538"/>
      <c r="IS20" s="1529">
        <f>'Федеральные  средства  по  МО'!BH21</f>
        <v>0</v>
      </c>
      <c r="IT20" s="1537"/>
      <c r="IU20" s="1538">
        <f>'План и исполнение'!OO22</f>
        <v>0</v>
      </c>
      <c r="IV20" s="1537">
        <f>'План и исполнение'!PC22</f>
        <v>0</v>
      </c>
      <c r="IW20" s="1539">
        <f>'Федеральные  средства  по  МО'!BI21</f>
        <v>0</v>
      </c>
      <c r="IX20" s="1538"/>
      <c r="IY20" s="1537">
        <f>'План и исполнение'!OV22</f>
        <v>0</v>
      </c>
      <c r="IZ20" s="1538">
        <f>'План и исполнение'!PJ22</f>
        <v>0</v>
      </c>
      <c r="JA20" s="1529">
        <f>'Федеральные  средства  по  МО'!BP21</f>
        <v>0</v>
      </c>
      <c r="JB20" s="1537">
        <f>'План и исполнение'!PW22</f>
        <v>0</v>
      </c>
      <c r="JC20" s="1538">
        <f>'План и исполнение'!QI22</f>
        <v>0</v>
      </c>
      <c r="JD20" s="1537">
        <f>'План и исполнение'!QO22</f>
        <v>0</v>
      </c>
      <c r="JE20" s="1539">
        <f>'Федеральные  средства  по  МО'!BQ21</f>
        <v>0</v>
      </c>
      <c r="JF20" s="1538">
        <f>'План и исполнение'!PZ22</f>
        <v>0</v>
      </c>
      <c r="JG20" s="1537">
        <f>'План и исполнение'!QL22</f>
        <v>0</v>
      </c>
      <c r="JH20" s="1538">
        <f>'План и исполнение'!QR22</f>
        <v>0</v>
      </c>
      <c r="JI20" s="1529">
        <f>'Федеральные  средства  по  МО'!BL21</f>
        <v>0</v>
      </c>
      <c r="JJ20" s="1537">
        <f>'План и исполнение'!NU22</f>
        <v>0</v>
      </c>
      <c r="JK20" s="1538">
        <f>'План и исполнение'!OS22</f>
        <v>0</v>
      </c>
      <c r="JL20" s="1537">
        <f>'План и исполнение'!PG22</f>
        <v>0</v>
      </c>
      <c r="JM20" s="1539">
        <f>'Федеральные  средства  по  МО'!BM21</f>
        <v>0</v>
      </c>
      <c r="JN20" s="1538">
        <f>'План и исполнение'!NX22</f>
        <v>0</v>
      </c>
      <c r="JO20" s="1537">
        <f>'План и исполнение'!OZ22</f>
        <v>0</v>
      </c>
      <c r="JP20" s="1576">
        <f>'План и исполнение'!PN22</f>
        <v>0</v>
      </c>
    </row>
    <row r="21" spans="1:276" ht="25.5" customHeight="1" x14ac:dyDescent="0.3">
      <c r="A21" s="102" t="s">
        <v>90</v>
      </c>
      <c r="B21" s="277">
        <f t="shared" si="17"/>
        <v>6004927.3900000006</v>
      </c>
      <c r="C21" s="1422">
        <f t="shared" si="0"/>
        <v>262987.5</v>
      </c>
      <c r="D21" s="1422">
        <f t="shared" si="1"/>
        <v>5741939.8900000006</v>
      </c>
      <c r="E21" s="1422">
        <f t="shared" si="18"/>
        <v>0</v>
      </c>
      <c r="F21" s="277">
        <f t="shared" si="19"/>
        <v>513590.01</v>
      </c>
      <c r="G21" s="1422">
        <f t="shared" si="20"/>
        <v>149921.25</v>
      </c>
      <c r="H21" s="1422">
        <f t="shared" si="21"/>
        <v>363668.76</v>
      </c>
      <c r="I21" s="1422">
        <f t="shared" si="22"/>
        <v>0</v>
      </c>
      <c r="J21" s="105"/>
      <c r="K21" s="1421">
        <f>M21-'Федеральные  средства  по  МО'!D22</f>
        <v>0</v>
      </c>
      <c r="L21" s="1421">
        <f>Q21-'Федеральные  средства  по  МО'!E22</f>
        <v>0</v>
      </c>
      <c r="M21" s="277">
        <f t="shared" si="23"/>
        <v>6004927.3900000006</v>
      </c>
      <c r="N21" s="1422">
        <f t="shared" si="24"/>
        <v>262987.5</v>
      </c>
      <c r="O21" s="1422">
        <f t="shared" si="25"/>
        <v>5741939.8900000006</v>
      </c>
      <c r="P21" s="1422">
        <f t="shared" si="26"/>
        <v>0</v>
      </c>
      <c r="Q21" s="277">
        <f t="shared" si="27"/>
        <v>513590.01</v>
      </c>
      <c r="R21" s="1422">
        <f t="shared" si="28"/>
        <v>149921.25</v>
      </c>
      <c r="S21" s="1422">
        <f t="shared" si="29"/>
        <v>363668.76</v>
      </c>
      <c r="T21" s="1422">
        <f t="shared" si="30"/>
        <v>0</v>
      </c>
      <c r="U21" s="103">
        <f>'Федеральные  средства  по  МО'!F22</f>
        <v>0</v>
      </c>
      <c r="V21" s="1424">
        <f t="shared" si="31"/>
        <v>0</v>
      </c>
      <c r="W21" s="1426"/>
      <c r="X21" s="1424"/>
      <c r="Y21" s="101">
        <f>'Федеральные  средства  по  МО'!G22</f>
        <v>0</v>
      </c>
      <c r="Z21" s="1426">
        <f t="shared" si="32"/>
        <v>0</v>
      </c>
      <c r="AA21" s="1424"/>
      <c r="AB21" s="1425"/>
      <c r="AC21" s="104">
        <f>'Федеральные  средства  по  МО'!H22</f>
        <v>0</v>
      </c>
      <c r="AD21" s="1424">
        <f>'План и исполнение'!CQ23</f>
        <v>0</v>
      </c>
      <c r="AE21" s="1426">
        <f>'План и исполнение'!CU23</f>
        <v>0</v>
      </c>
      <c r="AF21" s="1424">
        <f>'План и исполнение'!CW23</f>
        <v>0</v>
      </c>
      <c r="AG21" s="100">
        <f>'Федеральные  средства  по  МО'!I22</f>
        <v>0</v>
      </c>
      <c r="AH21" s="1426">
        <f>'План и исполнение'!CR23</f>
        <v>0</v>
      </c>
      <c r="AI21" s="1424">
        <f>'План и исполнение'!CV23</f>
        <v>0</v>
      </c>
      <c r="AJ21" s="1426">
        <f>'План и исполнение'!CX23</f>
        <v>0</v>
      </c>
      <c r="AK21" s="101">
        <f>'Федеральные  средства  по  МО'!J22</f>
        <v>0</v>
      </c>
      <c r="AL21" s="1425"/>
      <c r="AM21" s="1426"/>
      <c r="AN21" s="1423"/>
      <c r="AO21" s="101">
        <f>'Федеральные  средства  по  МО'!K22</f>
        <v>0</v>
      </c>
      <c r="AP21" s="1426"/>
      <c r="AQ21" s="1424"/>
      <c r="AR21" s="1426"/>
      <c r="AS21" s="103">
        <f>'Федеральные  средства  по  МО'!L22</f>
        <v>0</v>
      </c>
      <c r="AT21" s="1424">
        <f t="shared" si="3"/>
        <v>0</v>
      </c>
      <c r="AU21" s="1424"/>
      <c r="AV21" s="1426"/>
      <c r="AW21" s="101">
        <f>'Федеральные  средства  по  МО'!M22</f>
        <v>0</v>
      </c>
      <c r="AX21" s="1424">
        <f t="shared" si="4"/>
        <v>0</v>
      </c>
      <c r="AY21" s="1426"/>
      <c r="AZ21" s="1424"/>
      <c r="BA21" s="104">
        <f>'Федеральные  средства  по  МО'!N22</f>
        <v>0</v>
      </c>
      <c r="BB21" s="1424">
        <f t="shared" si="5"/>
        <v>0</v>
      </c>
      <c r="BC21" s="1426"/>
      <c r="BD21" s="1424"/>
      <c r="BE21" s="104">
        <f>'Федеральные  средства  по  МО'!O22</f>
        <v>0</v>
      </c>
      <c r="BF21" s="1424">
        <f t="shared" si="6"/>
        <v>0</v>
      </c>
      <c r="BG21" s="1424"/>
      <c r="BH21" s="1426"/>
      <c r="BI21" s="1528">
        <f>'Федеральные  средства  по  МО'!P22</f>
        <v>0</v>
      </c>
      <c r="BJ21" s="1424">
        <f t="shared" si="7"/>
        <v>0</v>
      </c>
      <c r="BK21" s="1424"/>
      <c r="BL21" s="1425"/>
      <c r="BM21" s="100">
        <f>'Федеральные  средства  по  МО'!Q22</f>
        <v>0</v>
      </c>
      <c r="BN21" s="1424">
        <f t="shared" si="8"/>
        <v>0</v>
      </c>
      <c r="BO21" s="1424"/>
      <c r="BP21" s="1426"/>
      <c r="BQ21" s="101">
        <f>'Федеральные  средства  по  МО'!R22</f>
        <v>0</v>
      </c>
      <c r="BR21" s="1424">
        <f t="shared" si="9"/>
        <v>0</v>
      </c>
      <c r="BS21" s="1424"/>
      <c r="BT21" s="1425"/>
      <c r="BU21" s="104">
        <f>'Федеральные  средства  по  МО'!S22</f>
        <v>0</v>
      </c>
      <c r="BV21" s="1424">
        <f t="shared" si="10"/>
        <v>0</v>
      </c>
      <c r="BW21" s="1424"/>
      <c r="BX21" s="1426"/>
      <c r="BY21" s="103">
        <f>'Федеральные  средства  по  МО'!T22</f>
        <v>0</v>
      </c>
      <c r="BZ21" s="1424">
        <f t="shared" si="11"/>
        <v>0</v>
      </c>
      <c r="CA21" s="1426"/>
      <c r="CB21" s="1424"/>
      <c r="CC21" s="100">
        <f>'Федеральные  средства  по  МО'!U22</f>
        <v>0</v>
      </c>
      <c r="CD21" s="1424">
        <f t="shared" si="12"/>
        <v>0</v>
      </c>
      <c r="CE21" s="1424"/>
      <c r="CF21" s="1426"/>
      <c r="CG21" s="103">
        <f>'Федеральные  средства  по  МО'!V22</f>
        <v>0</v>
      </c>
      <c r="CH21" s="1424"/>
      <c r="CI21" s="1426"/>
      <c r="CJ21" s="1424"/>
      <c r="CK21" s="100">
        <f>'Федеральные  средства  по  МО'!W22</f>
        <v>0</v>
      </c>
      <c r="CL21" s="1426"/>
      <c r="CM21" s="1424"/>
      <c r="CN21" s="1426"/>
      <c r="CO21" s="103">
        <f>'Федеральные  средства  по  МО'!X22</f>
        <v>0</v>
      </c>
      <c r="CP21" s="1424">
        <f t="shared" si="13"/>
        <v>0</v>
      </c>
      <c r="CQ21" s="1426"/>
      <c r="CR21" s="1424"/>
      <c r="CS21" s="100">
        <f>'Федеральные  средства  по  МО'!Y22</f>
        <v>0</v>
      </c>
      <c r="CT21" s="1424">
        <f t="shared" si="33"/>
        <v>0</v>
      </c>
      <c r="CU21" s="1424"/>
      <c r="CV21" s="1426"/>
      <c r="CW21" s="103">
        <f>'Федеральные  средства  по  МО'!Z22</f>
        <v>0</v>
      </c>
      <c r="CX21" s="1424"/>
      <c r="CY21" s="1424"/>
      <c r="CZ21" s="1426"/>
      <c r="DA21" s="101">
        <f>'Федеральные  средства  по  МО'!AA22</f>
        <v>0</v>
      </c>
      <c r="DB21" s="1426"/>
      <c r="DC21" s="1424"/>
      <c r="DD21" s="1426"/>
      <c r="DE21" s="103">
        <f>'Федеральные  средства  по  МО'!AB22</f>
        <v>0</v>
      </c>
      <c r="DF21" s="1424"/>
      <c r="DG21" s="1426"/>
      <c r="DH21" s="1424"/>
      <c r="DI21" s="100">
        <f>'Федеральные  средства  по  МО'!AC22</f>
        <v>0</v>
      </c>
      <c r="DJ21" s="1426"/>
      <c r="DK21" s="1424"/>
      <c r="DL21" s="1426"/>
      <c r="DM21" s="103">
        <f>'Федеральные  средства  по  МО'!AD22</f>
        <v>0</v>
      </c>
      <c r="DN21" s="1424">
        <f t="shared" si="14"/>
        <v>0</v>
      </c>
      <c r="DO21" s="1426"/>
      <c r="DP21" s="1424"/>
      <c r="DQ21" s="100">
        <f>'Федеральные  средства  по  МО'!AE22</f>
        <v>0</v>
      </c>
      <c r="DR21" s="1424">
        <f t="shared" si="15"/>
        <v>0</v>
      </c>
      <c r="DS21" s="1424"/>
      <c r="DT21" s="1426"/>
      <c r="DU21" s="103">
        <f>'Федеральные  средства  по  МО'!AF22</f>
        <v>21807.27</v>
      </c>
      <c r="DV21" s="1424">
        <f>'План и исполнение'!GK23</f>
        <v>0</v>
      </c>
      <c r="DW21" s="1424">
        <f>'План и исполнение'!HE23</f>
        <v>21807.27</v>
      </c>
      <c r="DX21" s="1426">
        <f>'План и исполнение'!HO23</f>
        <v>0</v>
      </c>
      <c r="DY21" s="101">
        <f>'Федеральные  средства  по  МО'!AG22</f>
        <v>21807.27</v>
      </c>
      <c r="DZ21" s="1426">
        <f>'План и исполнение'!GP23</f>
        <v>0</v>
      </c>
      <c r="EA21" s="1424">
        <f>'План и исполнение'!HJ23</f>
        <v>21807.27</v>
      </c>
      <c r="EB21" s="1426">
        <f>'План и исполнение'!HT23</f>
        <v>0</v>
      </c>
      <c r="EC21" s="103">
        <f>'Федеральные  средства  по  МО'!AH22</f>
        <v>0</v>
      </c>
      <c r="ED21" s="1424"/>
      <c r="EE21" s="1426"/>
      <c r="EF21" s="1424"/>
      <c r="EG21" s="100">
        <f>'Федеральные  средства  по  МО'!AI22</f>
        <v>0</v>
      </c>
      <c r="EH21" s="1426"/>
      <c r="EI21" s="1424"/>
      <c r="EJ21" s="1426"/>
      <c r="EK21" s="103">
        <f>'Федеральные  средства  по  МО'!AJ22</f>
        <v>0</v>
      </c>
      <c r="EL21" s="1424">
        <f t="shared" si="34"/>
        <v>0</v>
      </c>
      <c r="EM21" s="1426"/>
      <c r="EN21" s="1424"/>
      <c r="EO21" s="100">
        <f>'Федеральные  средства  по  МО'!AK22</f>
        <v>0</v>
      </c>
      <c r="EP21" s="1424">
        <f t="shared" si="35"/>
        <v>0</v>
      </c>
      <c r="EQ21" s="1424"/>
      <c r="ER21" s="1426"/>
      <c r="ES21" s="103">
        <f>'Федеральные  средства  по  МО'!AL22</f>
        <v>0</v>
      </c>
      <c r="ET21" s="1424">
        <f t="shared" si="36"/>
        <v>0</v>
      </c>
      <c r="EU21" s="1426"/>
      <c r="EV21" s="1424"/>
      <c r="EW21" s="100">
        <f>'Федеральные  средства  по  МО'!AM22</f>
        <v>0</v>
      </c>
      <c r="EX21" s="1425">
        <f t="shared" si="37"/>
        <v>0</v>
      </c>
      <c r="EY21" s="1424"/>
      <c r="EZ21" s="1426"/>
      <c r="FA21" s="103">
        <f>'Федеральные  средства  по  МО'!AN22</f>
        <v>0</v>
      </c>
      <c r="FB21" s="1424"/>
      <c r="FC21" s="1426"/>
      <c r="FD21" s="1424"/>
      <c r="FE21" s="100">
        <f>'Федеральные  средства  по  МО'!AO22</f>
        <v>0</v>
      </c>
      <c r="FF21" s="1426"/>
      <c r="FG21" s="1424"/>
      <c r="FH21" s="1426"/>
      <c r="FI21" s="103">
        <f>'Федеральные  средства  по  МО'!AP22</f>
        <v>737035.82000000007</v>
      </c>
      <c r="FJ21" s="1424">
        <f>'План и исполнение'!IO23</f>
        <v>149921.26</v>
      </c>
      <c r="FK21" s="1426">
        <f>'План и исполнение'!JA23</f>
        <v>587114.56000000006</v>
      </c>
      <c r="FL21" s="1424">
        <f>'План и исполнение'!JG23</f>
        <v>0</v>
      </c>
      <c r="FM21" s="100">
        <f>'Федеральные  средства  по  МО'!AQ22</f>
        <v>491782.74</v>
      </c>
      <c r="FN21" s="1426">
        <f>'План и исполнение'!IR23</f>
        <v>149921.25</v>
      </c>
      <c r="FO21" s="1424">
        <f>'План и исполнение'!JD23</f>
        <v>341861.49</v>
      </c>
      <c r="FP21" s="1426">
        <f>'План и исполнение'!JJ23</f>
        <v>0</v>
      </c>
      <c r="FQ21" s="103">
        <f>'Федеральные  средства  по  МО'!AR22</f>
        <v>0</v>
      </c>
      <c r="FR21" s="1424">
        <f t="shared" si="38"/>
        <v>0</v>
      </c>
      <c r="FS21" s="1426"/>
      <c r="FT21" s="1424"/>
      <c r="FU21" s="100">
        <f>'Федеральные  средства  по  МО'!AS22</f>
        <v>0</v>
      </c>
      <c r="FV21" s="1424">
        <f t="shared" si="39"/>
        <v>0</v>
      </c>
      <c r="FW21" s="1424"/>
      <c r="FX21" s="1426"/>
      <c r="FY21" s="103">
        <f>'Федеральные  средства  по  МО'!AT22</f>
        <v>113066.24000000001</v>
      </c>
      <c r="FZ21" s="1424">
        <f>'План и исполнение'!JU23</f>
        <v>113066.24000000001</v>
      </c>
      <c r="GA21" s="1426">
        <f>'План и исполнение'!KO23</f>
        <v>0</v>
      </c>
      <c r="GB21" s="1424">
        <f>'План и исполнение'!KY23</f>
        <v>0</v>
      </c>
      <c r="GC21" s="100">
        <f>'Федеральные  средства  по  МО'!AU22</f>
        <v>0</v>
      </c>
      <c r="GD21" s="1426">
        <f>'План и исполнение'!JZ23</f>
        <v>0</v>
      </c>
      <c r="GE21" s="1424">
        <f>'План и исполнение'!KT23</f>
        <v>0</v>
      </c>
      <c r="GF21" s="1426">
        <f>'План и исполнение'!LD23</f>
        <v>0</v>
      </c>
      <c r="GG21" s="103">
        <f>'Федеральные  средства  по  МО'!AV22</f>
        <v>0</v>
      </c>
      <c r="GH21" s="1424"/>
      <c r="GI21" s="1426">
        <f>'План и исполнение'!KM23</f>
        <v>0</v>
      </c>
      <c r="GJ21" s="1424">
        <f>'План и исполнение'!KW23</f>
        <v>0</v>
      </c>
      <c r="GK21" s="100">
        <f>'Федеральные  средства  по  МО'!AW22</f>
        <v>0</v>
      </c>
      <c r="GL21" s="1426"/>
      <c r="GM21" s="1424">
        <f>'План и исполнение'!KR23</f>
        <v>0</v>
      </c>
      <c r="GN21" s="1426">
        <f>'План и исполнение'!LB23</f>
        <v>0</v>
      </c>
      <c r="GO21" s="103">
        <f>'Федеральные  средства  по  МО'!AX22</f>
        <v>0</v>
      </c>
      <c r="GP21" s="1424">
        <f t="shared" si="40"/>
        <v>0</v>
      </c>
      <c r="GQ21" s="1426"/>
      <c r="GR21" s="1424"/>
      <c r="GS21" s="104">
        <f>'Федеральные  средства  по  МО'!AY22</f>
        <v>0</v>
      </c>
      <c r="GT21" s="1424">
        <f t="shared" si="16"/>
        <v>0</v>
      </c>
      <c r="GU21" s="1426"/>
      <c r="GV21" s="1424"/>
      <c r="GW21" s="104">
        <f>'Федеральные  средства  по  МО'!AZ22</f>
        <v>0</v>
      </c>
      <c r="GX21" s="1424"/>
      <c r="GY21" s="1426"/>
      <c r="GZ21" s="1424"/>
      <c r="HA21" s="100">
        <f>'Федеральные  средства  по  МО'!BA22</f>
        <v>0</v>
      </c>
      <c r="HB21" s="1426"/>
      <c r="HC21" s="1424"/>
      <c r="HD21" s="1426"/>
      <c r="HE21" s="103">
        <f>'Федеральные  средства  по  МО'!BB22</f>
        <v>0</v>
      </c>
      <c r="HF21" s="1424"/>
      <c r="HG21" s="1426"/>
      <c r="HH21" s="1424"/>
      <c r="HI21" s="104">
        <f>'Федеральные  средства  по  МО'!BC22</f>
        <v>0</v>
      </c>
      <c r="HJ21" s="1424"/>
      <c r="HK21" s="1426"/>
      <c r="HL21" s="1424"/>
      <c r="HM21" s="104">
        <f>'Федеральные  средства  по  МО'!BD22</f>
        <v>0</v>
      </c>
      <c r="HN21" s="1424"/>
      <c r="HO21" s="1426"/>
      <c r="HP21" s="1424"/>
      <c r="HQ21" s="100">
        <f>'Федеральные  средства  по  МО'!BE22</f>
        <v>0</v>
      </c>
      <c r="HR21" s="1426"/>
      <c r="HS21" s="1424"/>
      <c r="HT21" s="1426"/>
      <c r="HU21" s="103">
        <f>'Федеральные  средства  по  МО'!BF22</f>
        <v>0</v>
      </c>
      <c r="HV21" s="1424"/>
      <c r="HW21" s="1426"/>
      <c r="HX21" s="1424">
        <f>'План и исполнение'!NM23</f>
        <v>0</v>
      </c>
      <c r="HY21" s="100">
        <f>'Федеральные  средства  по  МО'!BG22</f>
        <v>0</v>
      </c>
      <c r="HZ21" s="1426"/>
      <c r="IA21" s="1424"/>
      <c r="IB21" s="1426">
        <f>'План и исполнение'!NQ23</f>
        <v>0</v>
      </c>
      <c r="IC21" s="103">
        <f>'Федеральные  средства  по  МО'!BJ22</f>
        <v>5133018.0600000005</v>
      </c>
      <c r="ID21" s="1424"/>
      <c r="IE21" s="1426">
        <f>'План и исполнение'!OQ23</f>
        <v>5133018.0600000005</v>
      </c>
      <c r="IF21" s="1424">
        <f>'План и исполнение'!PE23</f>
        <v>0</v>
      </c>
      <c r="IG21" s="100">
        <f>'Федеральные  средства  по  МО'!BK22</f>
        <v>0</v>
      </c>
      <c r="IH21" s="1426"/>
      <c r="II21" s="1424">
        <f>'План и исполнение'!OX23</f>
        <v>0</v>
      </c>
      <c r="IJ21" s="1426">
        <f>'План и исполнение'!PL23</f>
        <v>0</v>
      </c>
      <c r="IK21" s="103">
        <f>'Федеральные  средства  по  МО'!BN22</f>
        <v>0</v>
      </c>
      <c r="IL21" s="1424"/>
      <c r="IM21" s="1426"/>
      <c r="IN21" s="1424"/>
      <c r="IO21" s="100">
        <f>'Федеральные  средства  по  МО'!BO22</f>
        <v>0</v>
      </c>
      <c r="IP21" s="1426"/>
      <c r="IQ21" s="1424"/>
      <c r="IR21" s="1426"/>
      <c r="IS21" s="103">
        <f>'Федеральные  средства  по  МО'!BH22</f>
        <v>0</v>
      </c>
      <c r="IT21" s="1424"/>
      <c r="IU21" s="1426">
        <f>'План и исполнение'!OO23</f>
        <v>0</v>
      </c>
      <c r="IV21" s="1424">
        <f>'План и исполнение'!PC23</f>
        <v>0</v>
      </c>
      <c r="IW21" s="100">
        <f>'Федеральные  средства  по  МО'!BI22</f>
        <v>0</v>
      </c>
      <c r="IX21" s="1426"/>
      <c r="IY21" s="1424">
        <f>'План и исполнение'!OV23</f>
        <v>0</v>
      </c>
      <c r="IZ21" s="1426">
        <f>'План и исполнение'!PJ23</f>
        <v>0</v>
      </c>
      <c r="JA21" s="103">
        <f>'Федеральные  средства  по  МО'!BP22</f>
        <v>0</v>
      </c>
      <c r="JB21" s="1424">
        <f>'План и исполнение'!PW23</f>
        <v>0</v>
      </c>
      <c r="JC21" s="1426">
        <f>'План и исполнение'!QI23</f>
        <v>0</v>
      </c>
      <c r="JD21" s="1424">
        <f>'План и исполнение'!QO23</f>
        <v>0</v>
      </c>
      <c r="JE21" s="100">
        <f>'Федеральные  средства  по  МО'!BQ22</f>
        <v>0</v>
      </c>
      <c r="JF21" s="1426">
        <f>'План и исполнение'!PZ23</f>
        <v>0</v>
      </c>
      <c r="JG21" s="1424">
        <f>'План и исполнение'!QL23</f>
        <v>0</v>
      </c>
      <c r="JH21" s="1426">
        <f>'План и исполнение'!QR23</f>
        <v>0</v>
      </c>
      <c r="JI21" s="103">
        <f>'Федеральные  средства  по  МО'!BL22</f>
        <v>0</v>
      </c>
      <c r="JJ21" s="1424">
        <f>'План и исполнение'!NU23</f>
        <v>0</v>
      </c>
      <c r="JK21" s="1426">
        <f>'План и исполнение'!OS23</f>
        <v>0</v>
      </c>
      <c r="JL21" s="1424">
        <f>'План и исполнение'!PG23</f>
        <v>0</v>
      </c>
      <c r="JM21" s="100">
        <f>'Федеральные  средства  по  МО'!BM22</f>
        <v>0</v>
      </c>
      <c r="JN21" s="1426">
        <f>'План и исполнение'!NX23</f>
        <v>0</v>
      </c>
      <c r="JO21" s="1424">
        <f>'План и исполнение'!OZ23</f>
        <v>0</v>
      </c>
      <c r="JP21" s="1425">
        <f>'План и исполнение'!PN23</f>
        <v>0</v>
      </c>
    </row>
    <row r="22" spans="1:276" ht="25.5" customHeight="1" x14ac:dyDescent="0.3">
      <c r="A22" s="105" t="s">
        <v>91</v>
      </c>
      <c r="B22" s="277">
        <f t="shared" si="17"/>
        <v>6936766.5999999996</v>
      </c>
      <c r="C22" s="1422">
        <f t="shared" si="0"/>
        <v>2383000</v>
      </c>
      <c r="D22" s="1422">
        <f t="shared" si="1"/>
        <v>4553766.5999999996</v>
      </c>
      <c r="E22" s="1422">
        <f t="shared" si="18"/>
        <v>0</v>
      </c>
      <c r="F22" s="277">
        <f t="shared" si="19"/>
        <v>422969.77</v>
      </c>
      <c r="G22" s="1422">
        <f t="shared" si="20"/>
        <v>0</v>
      </c>
      <c r="H22" s="1422">
        <f t="shared" si="21"/>
        <v>422969.77</v>
      </c>
      <c r="I22" s="1422">
        <f t="shared" si="22"/>
        <v>0</v>
      </c>
      <c r="J22" s="105"/>
      <c r="K22" s="1421">
        <f>M22-'Федеральные  средства  по  МО'!D23</f>
        <v>0</v>
      </c>
      <c r="L22" s="1421">
        <f>Q22-'Федеральные  средства  по  МО'!E23</f>
        <v>0</v>
      </c>
      <c r="M22" s="277">
        <f t="shared" si="23"/>
        <v>6936766.5999999996</v>
      </c>
      <c r="N22" s="1422">
        <f t="shared" si="24"/>
        <v>2383000</v>
      </c>
      <c r="O22" s="1422">
        <f t="shared" si="25"/>
        <v>4553766.5999999996</v>
      </c>
      <c r="P22" s="1422">
        <f t="shared" si="26"/>
        <v>0</v>
      </c>
      <c r="Q22" s="277">
        <f t="shared" si="27"/>
        <v>422969.77</v>
      </c>
      <c r="R22" s="1422">
        <f t="shared" si="28"/>
        <v>0</v>
      </c>
      <c r="S22" s="1422">
        <f t="shared" si="29"/>
        <v>422969.77</v>
      </c>
      <c r="T22" s="1422">
        <f t="shared" si="30"/>
        <v>0</v>
      </c>
      <c r="U22" s="103">
        <f>'Федеральные  средства  по  МО'!F23</f>
        <v>0</v>
      </c>
      <c r="V22" s="1424">
        <f t="shared" si="31"/>
        <v>0</v>
      </c>
      <c r="W22" s="1426"/>
      <c r="X22" s="1424"/>
      <c r="Y22" s="101">
        <f>'Федеральные  средства  по  МО'!G23</f>
        <v>0</v>
      </c>
      <c r="Z22" s="1426">
        <f t="shared" si="32"/>
        <v>0</v>
      </c>
      <c r="AA22" s="1424"/>
      <c r="AB22" s="1425"/>
      <c r="AC22" s="1509">
        <f>'Федеральные  средства  по  МО'!H23</f>
        <v>0</v>
      </c>
      <c r="AD22" s="1537">
        <f>'План и исполнение'!CQ24</f>
        <v>0</v>
      </c>
      <c r="AE22" s="1538">
        <f>'План и исполнение'!CU24</f>
        <v>0</v>
      </c>
      <c r="AF22" s="1537">
        <f>'План и исполнение'!CW24</f>
        <v>0</v>
      </c>
      <c r="AG22" s="1539">
        <f>'Федеральные  средства  по  МО'!I23</f>
        <v>0</v>
      </c>
      <c r="AH22" s="1538">
        <f>'План и исполнение'!CR24</f>
        <v>0</v>
      </c>
      <c r="AI22" s="1537">
        <f>'План и исполнение'!CV24</f>
        <v>0</v>
      </c>
      <c r="AJ22" s="1538">
        <f>'План и исполнение'!CX24</f>
        <v>0</v>
      </c>
      <c r="AK22" s="1575">
        <f>'Федеральные  средства  по  МО'!J23</f>
        <v>0</v>
      </c>
      <c r="AL22" s="1576"/>
      <c r="AM22" s="1538"/>
      <c r="AN22" s="1577"/>
      <c r="AO22" s="1575">
        <f>'Федеральные  средства  по  МО'!K23</f>
        <v>0</v>
      </c>
      <c r="AP22" s="1538"/>
      <c r="AQ22" s="1537"/>
      <c r="AR22" s="1538"/>
      <c r="AS22" s="1529">
        <f>'Федеральные  средства  по  МО'!L23</f>
        <v>0</v>
      </c>
      <c r="AT22" s="1537">
        <f t="shared" si="3"/>
        <v>0</v>
      </c>
      <c r="AU22" s="1537"/>
      <c r="AV22" s="1538"/>
      <c r="AW22" s="1575">
        <f>'Федеральные  средства  по  МО'!M23</f>
        <v>0</v>
      </c>
      <c r="AX22" s="1537">
        <f t="shared" si="4"/>
        <v>0</v>
      </c>
      <c r="AY22" s="1538"/>
      <c r="AZ22" s="1537"/>
      <c r="BA22" s="1546">
        <f>'Федеральные  средства  по  МО'!N23</f>
        <v>0</v>
      </c>
      <c r="BB22" s="1537">
        <f t="shared" si="5"/>
        <v>0</v>
      </c>
      <c r="BC22" s="1538"/>
      <c r="BD22" s="1537"/>
      <c r="BE22" s="1546">
        <f>'Федеральные  средства  по  МО'!O23</f>
        <v>0</v>
      </c>
      <c r="BF22" s="1537">
        <f t="shared" si="6"/>
        <v>0</v>
      </c>
      <c r="BG22" s="1537"/>
      <c r="BH22" s="1538"/>
      <c r="BI22" s="1578">
        <f>'Федеральные  средства  по  МО'!P23</f>
        <v>2383000</v>
      </c>
      <c r="BJ22" s="1537">
        <f t="shared" si="7"/>
        <v>2383000</v>
      </c>
      <c r="BK22" s="1537"/>
      <c r="BL22" s="1576"/>
      <c r="BM22" s="1539">
        <f>'Федеральные  средства  по  МО'!Q23</f>
        <v>0</v>
      </c>
      <c r="BN22" s="1537">
        <f t="shared" si="8"/>
        <v>0</v>
      </c>
      <c r="BO22" s="1537"/>
      <c r="BP22" s="1538"/>
      <c r="BQ22" s="1575">
        <f>'Федеральные  средства  по  МО'!R23</f>
        <v>0</v>
      </c>
      <c r="BR22" s="1537">
        <f t="shared" si="9"/>
        <v>0</v>
      </c>
      <c r="BS22" s="1537"/>
      <c r="BT22" s="1576"/>
      <c r="BU22" s="1546">
        <f>'Федеральные  средства  по  МО'!S23</f>
        <v>0</v>
      </c>
      <c r="BV22" s="1537">
        <f t="shared" si="10"/>
        <v>0</v>
      </c>
      <c r="BW22" s="1537"/>
      <c r="BX22" s="1538"/>
      <c r="BY22" s="1529">
        <f>'Федеральные  средства  по  МО'!T23</f>
        <v>0</v>
      </c>
      <c r="BZ22" s="1537">
        <f t="shared" si="11"/>
        <v>0</v>
      </c>
      <c r="CA22" s="1538"/>
      <c r="CB22" s="1537"/>
      <c r="CC22" s="1539">
        <f>'Федеральные  средства  по  МО'!U23</f>
        <v>0</v>
      </c>
      <c r="CD22" s="1537">
        <f t="shared" si="12"/>
        <v>0</v>
      </c>
      <c r="CE22" s="1537"/>
      <c r="CF22" s="1538"/>
      <c r="CG22" s="1529">
        <f>'Федеральные  средства  по  МО'!V23</f>
        <v>0</v>
      </c>
      <c r="CH22" s="1537"/>
      <c r="CI22" s="1538"/>
      <c r="CJ22" s="1537"/>
      <c r="CK22" s="1539">
        <f>'Федеральные  средства  по  МО'!W23</f>
        <v>0</v>
      </c>
      <c r="CL22" s="1538"/>
      <c r="CM22" s="1537"/>
      <c r="CN22" s="1538"/>
      <c r="CO22" s="1529">
        <f>'Федеральные  средства  по  МО'!X23</f>
        <v>0</v>
      </c>
      <c r="CP22" s="1537">
        <f t="shared" si="13"/>
        <v>0</v>
      </c>
      <c r="CQ22" s="1538"/>
      <c r="CR22" s="1537"/>
      <c r="CS22" s="1539">
        <f>'Федеральные  средства  по  МО'!Y23</f>
        <v>0</v>
      </c>
      <c r="CT22" s="1537">
        <f t="shared" si="33"/>
        <v>0</v>
      </c>
      <c r="CU22" s="1537"/>
      <c r="CV22" s="1538"/>
      <c r="CW22" s="1529">
        <f>'Федеральные  средства  по  МО'!Z23</f>
        <v>0</v>
      </c>
      <c r="CX22" s="1537"/>
      <c r="CY22" s="1537"/>
      <c r="CZ22" s="1538"/>
      <c r="DA22" s="1575">
        <f>'Федеральные  средства  по  МО'!AA23</f>
        <v>0</v>
      </c>
      <c r="DB22" s="1538"/>
      <c r="DC22" s="1537"/>
      <c r="DD22" s="1538"/>
      <c r="DE22" s="1529">
        <f>'Федеральные  средства  по  МО'!AB23</f>
        <v>0</v>
      </c>
      <c r="DF22" s="1537"/>
      <c r="DG22" s="1538"/>
      <c r="DH22" s="1537"/>
      <c r="DI22" s="1539">
        <f>'Федеральные  средства  по  МО'!AC23</f>
        <v>0</v>
      </c>
      <c r="DJ22" s="1538"/>
      <c r="DK22" s="1537"/>
      <c r="DL22" s="1538"/>
      <c r="DM22" s="1529">
        <f>'Федеральные  средства  по  МО'!AD23</f>
        <v>0</v>
      </c>
      <c r="DN22" s="1537">
        <f t="shared" si="14"/>
        <v>0</v>
      </c>
      <c r="DO22" s="1538"/>
      <c r="DP22" s="1537"/>
      <c r="DQ22" s="1539">
        <f>'Федеральные  средства  по  МО'!AE23</f>
        <v>0</v>
      </c>
      <c r="DR22" s="1537">
        <f t="shared" si="15"/>
        <v>0</v>
      </c>
      <c r="DS22" s="1537"/>
      <c r="DT22" s="1538"/>
      <c r="DU22" s="1529">
        <f>'Федеральные  средства  по  МО'!AF23</f>
        <v>0</v>
      </c>
      <c r="DV22" s="1537">
        <f>'План и исполнение'!GK24</f>
        <v>0</v>
      </c>
      <c r="DW22" s="1537">
        <f>'План и исполнение'!HE24</f>
        <v>0</v>
      </c>
      <c r="DX22" s="1538">
        <f>'План и исполнение'!HO24</f>
        <v>0</v>
      </c>
      <c r="DY22" s="1575">
        <f>'Федеральные  средства  по  МО'!AG23</f>
        <v>0</v>
      </c>
      <c r="DZ22" s="1538">
        <f>'План и исполнение'!GP24</f>
        <v>0</v>
      </c>
      <c r="EA22" s="1537">
        <f>'План и исполнение'!HJ24</f>
        <v>0</v>
      </c>
      <c r="EB22" s="1538">
        <f>'План и исполнение'!HT24</f>
        <v>0</v>
      </c>
      <c r="EC22" s="1529">
        <f>'Федеральные  средства  по  МО'!AH23</f>
        <v>0</v>
      </c>
      <c r="ED22" s="1537"/>
      <c r="EE22" s="1538"/>
      <c r="EF22" s="1537"/>
      <c r="EG22" s="1539">
        <f>'Федеральные  средства  по  МО'!AI23</f>
        <v>0</v>
      </c>
      <c r="EH22" s="1538"/>
      <c r="EI22" s="1537"/>
      <c r="EJ22" s="1538"/>
      <c r="EK22" s="1529">
        <f>'Федеральные  средства  по  МО'!AJ23</f>
        <v>0</v>
      </c>
      <c r="EL22" s="1537">
        <f t="shared" si="34"/>
        <v>0</v>
      </c>
      <c r="EM22" s="1538"/>
      <c r="EN22" s="1537"/>
      <c r="EO22" s="1539">
        <f>'Федеральные  средства  по  МО'!AK23</f>
        <v>0</v>
      </c>
      <c r="EP22" s="1537">
        <f t="shared" si="35"/>
        <v>0</v>
      </c>
      <c r="EQ22" s="1537"/>
      <c r="ER22" s="1538"/>
      <c r="ES22" s="103">
        <f>'Федеральные  средства  по  МО'!AL23</f>
        <v>0</v>
      </c>
      <c r="ET22" s="1424">
        <f t="shared" si="36"/>
        <v>0</v>
      </c>
      <c r="EU22" s="1426"/>
      <c r="EV22" s="1424"/>
      <c r="EW22" s="100">
        <f>'Федеральные  средства  по  МО'!AM23</f>
        <v>0</v>
      </c>
      <c r="EX22" s="1576">
        <f t="shared" si="37"/>
        <v>0</v>
      </c>
      <c r="EY22" s="1537"/>
      <c r="EZ22" s="1538"/>
      <c r="FA22" s="1529">
        <f>'Федеральные  средства  по  МО'!AN23</f>
        <v>0</v>
      </c>
      <c r="FB22" s="1537"/>
      <c r="FC22" s="1538"/>
      <c r="FD22" s="1537"/>
      <c r="FE22" s="1539">
        <f>'Федеральные  средства  по  МО'!AO23</f>
        <v>0</v>
      </c>
      <c r="FF22" s="1538"/>
      <c r="FG22" s="1537"/>
      <c r="FH22" s="1538"/>
      <c r="FI22" s="1529">
        <f>'Федеральные  средства  по  МО'!AP23</f>
        <v>422969.77</v>
      </c>
      <c r="FJ22" s="1537">
        <f>'План и исполнение'!IO24</f>
        <v>0</v>
      </c>
      <c r="FK22" s="1538">
        <f>'План и исполнение'!JA24</f>
        <v>422969.77</v>
      </c>
      <c r="FL22" s="1537">
        <f>'План и исполнение'!JG24</f>
        <v>0</v>
      </c>
      <c r="FM22" s="1539">
        <f>'Федеральные  средства  по  МО'!AQ23</f>
        <v>422969.77</v>
      </c>
      <c r="FN22" s="1538">
        <f>'План и исполнение'!IR24</f>
        <v>0</v>
      </c>
      <c r="FO22" s="1537">
        <f>'План и исполнение'!JD24</f>
        <v>422969.77</v>
      </c>
      <c r="FP22" s="1538">
        <f>'План и исполнение'!JJ24</f>
        <v>0</v>
      </c>
      <c r="FQ22" s="1529">
        <f>'Федеральные  средства  по  МО'!AR23</f>
        <v>0</v>
      </c>
      <c r="FR22" s="1537">
        <f t="shared" si="38"/>
        <v>0</v>
      </c>
      <c r="FS22" s="1538"/>
      <c r="FT22" s="1537"/>
      <c r="FU22" s="1539">
        <f>'Федеральные  средства  по  МО'!AS23</f>
        <v>0</v>
      </c>
      <c r="FV22" s="1537">
        <f t="shared" si="39"/>
        <v>0</v>
      </c>
      <c r="FW22" s="1537"/>
      <c r="FX22" s="1538"/>
      <c r="FY22" s="1529">
        <f>'Федеральные  средства  по  МО'!AT23</f>
        <v>0</v>
      </c>
      <c r="FZ22" s="1537">
        <f>'План и исполнение'!JU24</f>
        <v>0</v>
      </c>
      <c r="GA22" s="1538">
        <f>'План и исполнение'!KO24</f>
        <v>0</v>
      </c>
      <c r="GB22" s="1537">
        <f>'План и исполнение'!KY24</f>
        <v>0</v>
      </c>
      <c r="GC22" s="1539">
        <f>'Федеральные  средства  по  МО'!AU23</f>
        <v>0</v>
      </c>
      <c r="GD22" s="1538">
        <f>'План и исполнение'!JZ24</f>
        <v>0</v>
      </c>
      <c r="GE22" s="1537">
        <f>'План и исполнение'!KT24</f>
        <v>0</v>
      </c>
      <c r="GF22" s="1538">
        <f>'План и исполнение'!LD24</f>
        <v>0</v>
      </c>
      <c r="GG22" s="1529">
        <f>'Федеральные  средства  по  МО'!AV23</f>
        <v>0</v>
      </c>
      <c r="GH22" s="1537"/>
      <c r="GI22" s="1538">
        <f>'План и исполнение'!KM24</f>
        <v>0</v>
      </c>
      <c r="GJ22" s="1537">
        <f>'План и исполнение'!KW24</f>
        <v>0</v>
      </c>
      <c r="GK22" s="1539">
        <f>'Федеральные  средства  по  МО'!AW23</f>
        <v>0</v>
      </c>
      <c r="GL22" s="1538"/>
      <c r="GM22" s="1537">
        <f>'План и исполнение'!KR24</f>
        <v>0</v>
      </c>
      <c r="GN22" s="1538">
        <f>'План и исполнение'!LB24</f>
        <v>0</v>
      </c>
      <c r="GO22" s="1529">
        <f>'Федеральные  средства  по  МО'!AX23</f>
        <v>0</v>
      </c>
      <c r="GP22" s="1537">
        <f t="shared" si="40"/>
        <v>0</v>
      </c>
      <c r="GQ22" s="1538"/>
      <c r="GR22" s="1537"/>
      <c r="GS22" s="1546">
        <f>'Федеральные  средства  по  МО'!AY23</f>
        <v>0</v>
      </c>
      <c r="GT22" s="1537">
        <f t="shared" si="16"/>
        <v>0</v>
      </c>
      <c r="GU22" s="1538"/>
      <c r="GV22" s="1537"/>
      <c r="GW22" s="1546">
        <f>'Федеральные  средства  по  МО'!AZ23</f>
        <v>0</v>
      </c>
      <c r="GX22" s="1537"/>
      <c r="GY22" s="1538"/>
      <c r="GZ22" s="1537"/>
      <c r="HA22" s="1539">
        <f>'Федеральные  средства  по  МО'!BA23</f>
        <v>0</v>
      </c>
      <c r="HB22" s="1538"/>
      <c r="HC22" s="1537"/>
      <c r="HD22" s="1538"/>
      <c r="HE22" s="1529">
        <f>'Федеральные  средства  по  МО'!BB23</f>
        <v>0</v>
      </c>
      <c r="HF22" s="1537"/>
      <c r="HG22" s="1538"/>
      <c r="HH22" s="1537"/>
      <c r="HI22" s="1546">
        <f>'Федеральные  средства  по  МО'!BC23</f>
        <v>0</v>
      </c>
      <c r="HJ22" s="1537"/>
      <c r="HK22" s="1538"/>
      <c r="HL22" s="1537"/>
      <c r="HM22" s="1546">
        <f>'Федеральные  средства  по  МО'!BD23</f>
        <v>0</v>
      </c>
      <c r="HN22" s="1537"/>
      <c r="HO22" s="1538"/>
      <c r="HP22" s="1537"/>
      <c r="HQ22" s="1539">
        <f>'Федеральные  средства  по  МО'!BE23</f>
        <v>0</v>
      </c>
      <c r="HR22" s="1538"/>
      <c r="HS22" s="1537"/>
      <c r="HT22" s="1538"/>
      <c r="HU22" s="1529">
        <f>'Федеральные  средства  по  МО'!BF23</f>
        <v>0</v>
      </c>
      <c r="HV22" s="1537"/>
      <c r="HW22" s="1538"/>
      <c r="HX22" s="1537">
        <f>'План и исполнение'!NM24</f>
        <v>0</v>
      </c>
      <c r="HY22" s="1539">
        <f>'Федеральные  средства  по  МО'!BG23</f>
        <v>0</v>
      </c>
      <c r="HZ22" s="1538"/>
      <c r="IA22" s="1537"/>
      <c r="IB22" s="1538">
        <f>'План и исполнение'!NQ24</f>
        <v>0</v>
      </c>
      <c r="IC22" s="1529">
        <f>'Федеральные  средства  по  МО'!BJ23</f>
        <v>4130796.83</v>
      </c>
      <c r="ID22" s="1537"/>
      <c r="IE22" s="1538">
        <f>'План и исполнение'!OQ24</f>
        <v>4130796.83</v>
      </c>
      <c r="IF22" s="1537">
        <f>'План и исполнение'!PE24</f>
        <v>0</v>
      </c>
      <c r="IG22" s="1539">
        <f>'Федеральные  средства  по  МО'!BK23</f>
        <v>0</v>
      </c>
      <c r="IH22" s="1538"/>
      <c r="II22" s="1537">
        <f>'План и исполнение'!OX24</f>
        <v>0</v>
      </c>
      <c r="IJ22" s="1538">
        <f>'План и исполнение'!PL24</f>
        <v>0</v>
      </c>
      <c r="IK22" s="1529">
        <f>'Федеральные  средства  по  МО'!BN23</f>
        <v>0</v>
      </c>
      <c r="IL22" s="1537"/>
      <c r="IM22" s="1538"/>
      <c r="IN22" s="1537"/>
      <c r="IO22" s="1539">
        <f>'Федеральные  средства  по  МО'!BO23</f>
        <v>0</v>
      </c>
      <c r="IP22" s="1538"/>
      <c r="IQ22" s="1537"/>
      <c r="IR22" s="1538"/>
      <c r="IS22" s="1529">
        <f>'Федеральные  средства  по  МО'!BH23</f>
        <v>0</v>
      </c>
      <c r="IT22" s="1537"/>
      <c r="IU22" s="1538">
        <f>'План и исполнение'!OO24</f>
        <v>0</v>
      </c>
      <c r="IV22" s="1537">
        <f>'План и исполнение'!PC24</f>
        <v>0</v>
      </c>
      <c r="IW22" s="1539">
        <f>'Федеральные  средства  по  МО'!BI23</f>
        <v>0</v>
      </c>
      <c r="IX22" s="1538"/>
      <c r="IY22" s="1537">
        <f>'План и исполнение'!OV24</f>
        <v>0</v>
      </c>
      <c r="IZ22" s="1538">
        <f>'План и исполнение'!PJ24</f>
        <v>0</v>
      </c>
      <c r="JA22" s="1529">
        <f>'Федеральные  средства  по  МО'!BP23</f>
        <v>0</v>
      </c>
      <c r="JB22" s="1537">
        <f>'План и исполнение'!PW24</f>
        <v>0</v>
      </c>
      <c r="JC22" s="1538">
        <f>'План и исполнение'!QI24</f>
        <v>0</v>
      </c>
      <c r="JD22" s="1537">
        <f>'План и исполнение'!QO24</f>
        <v>0</v>
      </c>
      <c r="JE22" s="1539">
        <f>'Федеральные  средства  по  МО'!BQ23</f>
        <v>0</v>
      </c>
      <c r="JF22" s="1538">
        <f>'План и исполнение'!PZ24</f>
        <v>0</v>
      </c>
      <c r="JG22" s="1537">
        <f>'План и исполнение'!QL24</f>
        <v>0</v>
      </c>
      <c r="JH22" s="1538">
        <f>'План и исполнение'!QR24</f>
        <v>0</v>
      </c>
      <c r="JI22" s="1529">
        <f>'Федеральные  средства  по  МО'!BL23</f>
        <v>0</v>
      </c>
      <c r="JJ22" s="1537">
        <f>'План и исполнение'!NU24</f>
        <v>0</v>
      </c>
      <c r="JK22" s="1538">
        <f>'План и исполнение'!OS24</f>
        <v>0</v>
      </c>
      <c r="JL22" s="1537">
        <f>'План и исполнение'!PG24</f>
        <v>0</v>
      </c>
      <c r="JM22" s="1539">
        <f>'Федеральные  средства  по  МО'!BM23</f>
        <v>0</v>
      </c>
      <c r="JN22" s="1538">
        <f>'План и исполнение'!NX24</f>
        <v>0</v>
      </c>
      <c r="JO22" s="1537">
        <f>'План и исполнение'!OZ24</f>
        <v>0</v>
      </c>
      <c r="JP22" s="1576">
        <f>'План и исполнение'!PN24</f>
        <v>0</v>
      </c>
    </row>
    <row r="23" spans="1:276" ht="25.5" customHeight="1" x14ac:dyDescent="0.3">
      <c r="A23" s="102" t="s">
        <v>92</v>
      </c>
      <c r="B23" s="277">
        <f t="shared" si="17"/>
        <v>5964236.8499999996</v>
      </c>
      <c r="C23" s="1422">
        <f t="shared" si="0"/>
        <v>3505613</v>
      </c>
      <c r="D23" s="1422">
        <f t="shared" si="1"/>
        <v>2458623.85</v>
      </c>
      <c r="E23" s="1422">
        <f t="shared" si="18"/>
        <v>0</v>
      </c>
      <c r="F23" s="277">
        <f t="shared" si="19"/>
        <v>2550550.77</v>
      </c>
      <c r="G23" s="1422">
        <f t="shared" si="20"/>
        <v>2401079.9900000002</v>
      </c>
      <c r="H23" s="1422">
        <f t="shared" si="21"/>
        <v>149470.78</v>
      </c>
      <c r="I23" s="1422">
        <f t="shared" si="22"/>
        <v>0</v>
      </c>
      <c r="J23" s="105"/>
      <c r="K23" s="1421">
        <f>M23-'Федеральные  средства  по  МО'!D24</f>
        <v>0</v>
      </c>
      <c r="L23" s="1421">
        <f>Q23-'Федеральные  средства  по  МО'!E24</f>
        <v>0</v>
      </c>
      <c r="M23" s="277">
        <f t="shared" si="23"/>
        <v>5964236.8499999996</v>
      </c>
      <c r="N23" s="1422">
        <f t="shared" si="24"/>
        <v>3505613</v>
      </c>
      <c r="O23" s="1422">
        <f t="shared" si="25"/>
        <v>2458623.85</v>
      </c>
      <c r="P23" s="1422">
        <f t="shared" si="26"/>
        <v>0</v>
      </c>
      <c r="Q23" s="277">
        <f t="shared" si="27"/>
        <v>2550550.77</v>
      </c>
      <c r="R23" s="1422">
        <f t="shared" si="28"/>
        <v>2401079.9900000002</v>
      </c>
      <c r="S23" s="1422">
        <f t="shared" si="29"/>
        <v>149470.78</v>
      </c>
      <c r="T23" s="1422">
        <f t="shared" si="30"/>
        <v>0</v>
      </c>
      <c r="U23" s="103">
        <f>'Федеральные  средства  по  МО'!F24</f>
        <v>0</v>
      </c>
      <c r="V23" s="1424">
        <f t="shared" si="31"/>
        <v>0</v>
      </c>
      <c r="W23" s="1426"/>
      <c r="X23" s="1424"/>
      <c r="Y23" s="101">
        <f>'Федеральные  средства  по  МО'!G24</f>
        <v>0</v>
      </c>
      <c r="Z23" s="1426">
        <f t="shared" si="32"/>
        <v>0</v>
      </c>
      <c r="AA23" s="1424"/>
      <c r="AB23" s="1425"/>
      <c r="AC23" s="104">
        <f>'Федеральные  средства  по  МО'!H24</f>
        <v>0</v>
      </c>
      <c r="AD23" s="1424">
        <f>'План и исполнение'!CQ25</f>
        <v>0</v>
      </c>
      <c r="AE23" s="1426">
        <f>'План и исполнение'!CU25</f>
        <v>0</v>
      </c>
      <c r="AF23" s="1424">
        <f>'План и исполнение'!CW25</f>
        <v>0</v>
      </c>
      <c r="AG23" s="100">
        <f>'Федеральные  средства  по  МО'!I24</f>
        <v>0</v>
      </c>
      <c r="AH23" s="1426">
        <f>'План и исполнение'!CR25</f>
        <v>0</v>
      </c>
      <c r="AI23" s="1424">
        <f>'План и исполнение'!CV25</f>
        <v>0</v>
      </c>
      <c r="AJ23" s="1426">
        <f>'План и исполнение'!CX25</f>
        <v>0</v>
      </c>
      <c r="AK23" s="101">
        <f>'Федеральные  средства  по  МО'!J24</f>
        <v>0</v>
      </c>
      <c r="AL23" s="1425"/>
      <c r="AM23" s="1426"/>
      <c r="AN23" s="1423"/>
      <c r="AO23" s="101">
        <f>'Федеральные  средства  по  МО'!K24</f>
        <v>0</v>
      </c>
      <c r="AP23" s="1426"/>
      <c r="AQ23" s="1424"/>
      <c r="AR23" s="1426"/>
      <c r="AS23" s="103">
        <f>'Федеральные  средства  по  МО'!L24</f>
        <v>0</v>
      </c>
      <c r="AT23" s="1424">
        <f t="shared" si="3"/>
        <v>0</v>
      </c>
      <c r="AU23" s="1424"/>
      <c r="AV23" s="1426"/>
      <c r="AW23" s="101">
        <f>'Федеральные  средства  по  МО'!M24</f>
        <v>0</v>
      </c>
      <c r="AX23" s="1424">
        <f t="shared" si="4"/>
        <v>0</v>
      </c>
      <c r="AY23" s="1426"/>
      <c r="AZ23" s="1424"/>
      <c r="BA23" s="104">
        <f>'Федеральные  средства  по  МО'!N24</f>
        <v>0</v>
      </c>
      <c r="BB23" s="1424">
        <f t="shared" si="5"/>
        <v>0</v>
      </c>
      <c r="BC23" s="1426"/>
      <c r="BD23" s="1424"/>
      <c r="BE23" s="104">
        <f>'Федеральные  средства  по  МО'!O24</f>
        <v>0</v>
      </c>
      <c r="BF23" s="1424">
        <f t="shared" si="6"/>
        <v>0</v>
      </c>
      <c r="BG23" s="1424"/>
      <c r="BH23" s="1426"/>
      <c r="BI23" s="1528">
        <f>'Федеральные  средства  по  МО'!P24</f>
        <v>0</v>
      </c>
      <c r="BJ23" s="1424">
        <f t="shared" si="7"/>
        <v>0</v>
      </c>
      <c r="BK23" s="1424"/>
      <c r="BL23" s="1425"/>
      <c r="BM23" s="100">
        <f>'Федеральные  средства  по  МО'!Q24</f>
        <v>0</v>
      </c>
      <c r="BN23" s="1424">
        <f t="shared" si="8"/>
        <v>0</v>
      </c>
      <c r="BO23" s="1424"/>
      <c r="BP23" s="1426"/>
      <c r="BQ23" s="101">
        <f>'Федеральные  средства  по  МО'!R24</f>
        <v>2859675</v>
      </c>
      <c r="BR23" s="1424">
        <f t="shared" si="9"/>
        <v>2859675</v>
      </c>
      <c r="BS23" s="1424"/>
      <c r="BT23" s="1425"/>
      <c r="BU23" s="104">
        <f>'Федеральные  средства  по  МО'!S24</f>
        <v>1868856.87</v>
      </c>
      <c r="BV23" s="1424">
        <f t="shared" si="10"/>
        <v>1868856.87</v>
      </c>
      <c r="BW23" s="1424"/>
      <c r="BX23" s="1426"/>
      <c r="BY23" s="103">
        <f>'Федеральные  средства  по  МО'!T24</f>
        <v>0</v>
      </c>
      <c r="BZ23" s="1424">
        <f t="shared" si="11"/>
        <v>0</v>
      </c>
      <c r="CA23" s="1426"/>
      <c r="CB23" s="1424"/>
      <c r="CC23" s="100">
        <f>'Федеральные  средства  по  МО'!U24</f>
        <v>0</v>
      </c>
      <c r="CD23" s="1424">
        <f t="shared" si="12"/>
        <v>0</v>
      </c>
      <c r="CE23" s="1424"/>
      <c r="CF23" s="1426"/>
      <c r="CG23" s="103">
        <f>'Федеральные  средства  по  МО'!V24</f>
        <v>0</v>
      </c>
      <c r="CH23" s="1424"/>
      <c r="CI23" s="1426"/>
      <c r="CJ23" s="1424"/>
      <c r="CK23" s="100">
        <f>'Федеральные  средства  по  МО'!W24</f>
        <v>0</v>
      </c>
      <c r="CL23" s="1426"/>
      <c r="CM23" s="1424"/>
      <c r="CN23" s="1426"/>
      <c r="CO23" s="103">
        <f>'Федеральные  средства  по  МО'!X24</f>
        <v>0</v>
      </c>
      <c r="CP23" s="1424">
        <f t="shared" si="13"/>
        <v>0</v>
      </c>
      <c r="CQ23" s="1426"/>
      <c r="CR23" s="1424"/>
      <c r="CS23" s="100">
        <f>'Федеральные  средства  по  МО'!Y24</f>
        <v>0</v>
      </c>
      <c r="CT23" s="1424">
        <f t="shared" si="33"/>
        <v>0</v>
      </c>
      <c r="CU23" s="1424"/>
      <c r="CV23" s="1426"/>
      <c r="CW23" s="103">
        <f>'Федеральные  средства  по  МО'!Z24</f>
        <v>0</v>
      </c>
      <c r="CX23" s="1424"/>
      <c r="CY23" s="1424"/>
      <c r="CZ23" s="1426"/>
      <c r="DA23" s="101">
        <f>'Федеральные  средства  по  МО'!AA24</f>
        <v>0</v>
      </c>
      <c r="DB23" s="1426"/>
      <c r="DC23" s="1424"/>
      <c r="DD23" s="1426"/>
      <c r="DE23" s="103">
        <f>'Федеральные  средства  по  МО'!AB24</f>
        <v>0</v>
      </c>
      <c r="DF23" s="1424"/>
      <c r="DG23" s="1426"/>
      <c r="DH23" s="1424"/>
      <c r="DI23" s="100">
        <f>'Федеральные  средства  по  МО'!AC24</f>
        <v>0</v>
      </c>
      <c r="DJ23" s="1426"/>
      <c r="DK23" s="1424"/>
      <c r="DL23" s="1426"/>
      <c r="DM23" s="103">
        <f>'Федеральные  средства  по  МО'!AD24</f>
        <v>0</v>
      </c>
      <c r="DN23" s="1424">
        <f t="shared" si="14"/>
        <v>0</v>
      </c>
      <c r="DO23" s="1426"/>
      <c r="DP23" s="1424"/>
      <c r="DQ23" s="100">
        <f>'Федеральные  средства  по  МО'!AE24</f>
        <v>0</v>
      </c>
      <c r="DR23" s="1424">
        <f t="shared" si="15"/>
        <v>0</v>
      </c>
      <c r="DS23" s="1424"/>
      <c r="DT23" s="1426"/>
      <c r="DU23" s="103">
        <f>'Федеральные  средства  по  МО'!AF24</f>
        <v>0</v>
      </c>
      <c r="DV23" s="1424">
        <f>'План и исполнение'!GK25</f>
        <v>0</v>
      </c>
      <c r="DW23" s="1424">
        <f>'План и исполнение'!HE25</f>
        <v>0</v>
      </c>
      <c r="DX23" s="1426">
        <f>'План и исполнение'!HO25</f>
        <v>0</v>
      </c>
      <c r="DY23" s="101">
        <f>'Федеральные  средства  по  МО'!AG24</f>
        <v>0</v>
      </c>
      <c r="DZ23" s="1426">
        <f>'План и исполнение'!GP25</f>
        <v>0</v>
      </c>
      <c r="EA23" s="1424">
        <f>'План и исполнение'!HJ25</f>
        <v>0</v>
      </c>
      <c r="EB23" s="1426">
        <f>'План и исполнение'!HT25</f>
        <v>0</v>
      </c>
      <c r="EC23" s="103">
        <f>'Федеральные  средства  по  МО'!AH24</f>
        <v>0</v>
      </c>
      <c r="ED23" s="1424"/>
      <c r="EE23" s="1426"/>
      <c r="EF23" s="1424"/>
      <c r="EG23" s="100">
        <f>'Федеральные  средства  по  МО'!AI24</f>
        <v>0</v>
      </c>
      <c r="EH23" s="1426"/>
      <c r="EI23" s="1424"/>
      <c r="EJ23" s="1426"/>
      <c r="EK23" s="103">
        <f>'Федеральные  средства  по  МО'!AJ24</f>
        <v>0</v>
      </c>
      <c r="EL23" s="1424">
        <f t="shared" si="34"/>
        <v>0</v>
      </c>
      <c r="EM23" s="1426"/>
      <c r="EN23" s="1424"/>
      <c r="EO23" s="100">
        <f>'Федеральные  средства  по  МО'!AK24</f>
        <v>0</v>
      </c>
      <c r="EP23" s="1424">
        <f t="shared" si="35"/>
        <v>0</v>
      </c>
      <c r="EQ23" s="1424"/>
      <c r="ER23" s="1426"/>
      <c r="ES23" s="103">
        <f>'Федеральные  средства  по  МО'!AL24</f>
        <v>0</v>
      </c>
      <c r="ET23" s="1424">
        <f t="shared" si="36"/>
        <v>0</v>
      </c>
      <c r="EU23" s="1426"/>
      <c r="EV23" s="1424"/>
      <c r="EW23" s="100">
        <f>'Федеральные  средства  по  МО'!AM24</f>
        <v>0</v>
      </c>
      <c r="EX23" s="1425">
        <f t="shared" si="37"/>
        <v>0</v>
      </c>
      <c r="EY23" s="1424"/>
      <c r="EZ23" s="1426"/>
      <c r="FA23" s="103">
        <f>'Федеральные  средства  по  МО'!AN24</f>
        <v>0</v>
      </c>
      <c r="FB23" s="1424"/>
      <c r="FC23" s="1426"/>
      <c r="FD23" s="1424"/>
      <c r="FE23" s="100">
        <f>'Федеральные  средства  по  МО'!AO24</f>
        <v>0</v>
      </c>
      <c r="FF23" s="1426"/>
      <c r="FG23" s="1424"/>
      <c r="FH23" s="1426"/>
      <c r="FI23" s="103">
        <f>'Федеральные  средства  по  МО'!AP24</f>
        <v>707182.49</v>
      </c>
      <c r="FJ23" s="1424">
        <f>'План и исполнение'!IO25</f>
        <v>645938</v>
      </c>
      <c r="FK23" s="1426">
        <f>'План и исполнение'!JA25</f>
        <v>61244.49</v>
      </c>
      <c r="FL23" s="1424">
        <f>'План и исполнение'!JG25</f>
        <v>0</v>
      </c>
      <c r="FM23" s="100">
        <f>'Федеральные  средства  по  МО'!AQ24</f>
        <v>532223.12</v>
      </c>
      <c r="FN23" s="1426">
        <f>'План и исполнение'!IR25</f>
        <v>532223.12</v>
      </c>
      <c r="FO23" s="1424">
        <f>'План и исполнение'!JD25</f>
        <v>0</v>
      </c>
      <c r="FP23" s="1426">
        <f>'План и исполнение'!JJ25</f>
        <v>0</v>
      </c>
      <c r="FQ23" s="103">
        <f>'Федеральные  средства  по  МО'!AR24</f>
        <v>0</v>
      </c>
      <c r="FR23" s="1424">
        <f t="shared" si="38"/>
        <v>0</v>
      </c>
      <c r="FS23" s="1426"/>
      <c r="FT23" s="1424"/>
      <c r="FU23" s="100">
        <f>'Федеральные  средства  по  МО'!AS24</f>
        <v>0</v>
      </c>
      <c r="FV23" s="1424">
        <f t="shared" si="39"/>
        <v>0</v>
      </c>
      <c r="FW23" s="1424"/>
      <c r="FX23" s="1426"/>
      <c r="FY23" s="103">
        <f>'Федеральные  средства  по  МО'!AT24</f>
        <v>0</v>
      </c>
      <c r="FZ23" s="1424">
        <f>'План и исполнение'!JU25</f>
        <v>0</v>
      </c>
      <c r="GA23" s="1426">
        <f>'План и исполнение'!KO25</f>
        <v>0</v>
      </c>
      <c r="GB23" s="1424">
        <f>'План и исполнение'!KY25</f>
        <v>0</v>
      </c>
      <c r="GC23" s="100">
        <f>'Федеральные  средства  по  МО'!AU24</f>
        <v>0</v>
      </c>
      <c r="GD23" s="1426">
        <f>'План и исполнение'!JZ25</f>
        <v>0</v>
      </c>
      <c r="GE23" s="1424">
        <f>'План и исполнение'!KT25</f>
        <v>0</v>
      </c>
      <c r="GF23" s="1426">
        <f>'План и исполнение'!LD25</f>
        <v>0</v>
      </c>
      <c r="GG23" s="103">
        <f>'Федеральные  средства  по  МО'!AV24</f>
        <v>0</v>
      </c>
      <c r="GH23" s="1424"/>
      <c r="GI23" s="1426">
        <f>'План и исполнение'!KM25</f>
        <v>0</v>
      </c>
      <c r="GJ23" s="1424">
        <f>'План и исполнение'!KW25</f>
        <v>0</v>
      </c>
      <c r="GK23" s="100">
        <f>'Федеральные  средства  по  МО'!AW24</f>
        <v>0</v>
      </c>
      <c r="GL23" s="1426"/>
      <c r="GM23" s="1424">
        <f>'План и исполнение'!KR25</f>
        <v>0</v>
      </c>
      <c r="GN23" s="1426">
        <f>'План и исполнение'!LB25</f>
        <v>0</v>
      </c>
      <c r="GO23" s="103">
        <f>'Федеральные  средства  по  МО'!AX24</f>
        <v>0</v>
      </c>
      <c r="GP23" s="1424">
        <f t="shared" si="40"/>
        <v>0</v>
      </c>
      <c r="GQ23" s="1426"/>
      <c r="GR23" s="1424"/>
      <c r="GS23" s="104">
        <f>'Федеральные  средства  по  МО'!AY24</f>
        <v>0</v>
      </c>
      <c r="GT23" s="1424">
        <f t="shared" si="16"/>
        <v>0</v>
      </c>
      <c r="GU23" s="1426"/>
      <c r="GV23" s="1424"/>
      <c r="GW23" s="104">
        <f>'Федеральные  средства  по  МО'!AZ24</f>
        <v>0</v>
      </c>
      <c r="GX23" s="1424"/>
      <c r="GY23" s="1426"/>
      <c r="GZ23" s="1424"/>
      <c r="HA23" s="100">
        <f>'Федеральные  средства  по  МО'!BA24</f>
        <v>0</v>
      </c>
      <c r="HB23" s="1426"/>
      <c r="HC23" s="1424"/>
      <c r="HD23" s="1426"/>
      <c r="HE23" s="103">
        <f>'Федеральные  средства  по  МО'!BB24</f>
        <v>0</v>
      </c>
      <c r="HF23" s="1424"/>
      <c r="HG23" s="1426"/>
      <c r="HH23" s="1424"/>
      <c r="HI23" s="104">
        <f>'Федеральные  средства  по  МО'!BC24</f>
        <v>0</v>
      </c>
      <c r="HJ23" s="1424"/>
      <c r="HK23" s="1426"/>
      <c r="HL23" s="1424"/>
      <c r="HM23" s="104">
        <f>'Федеральные  средства  по  МО'!BD24</f>
        <v>0</v>
      </c>
      <c r="HN23" s="1424"/>
      <c r="HO23" s="1426"/>
      <c r="HP23" s="1424"/>
      <c r="HQ23" s="100">
        <f>'Федеральные  средства  по  МО'!BE24</f>
        <v>0</v>
      </c>
      <c r="HR23" s="1426"/>
      <c r="HS23" s="1424"/>
      <c r="HT23" s="1426"/>
      <c r="HU23" s="103">
        <f>'Федеральные  средства  по  МО'!BF24</f>
        <v>0</v>
      </c>
      <c r="HV23" s="1424"/>
      <c r="HW23" s="1426"/>
      <c r="HX23" s="1424">
        <f>'План и исполнение'!NM25</f>
        <v>0</v>
      </c>
      <c r="HY23" s="100">
        <f>'Федеральные  средства  по  МО'!BG24</f>
        <v>0</v>
      </c>
      <c r="HZ23" s="1426"/>
      <c r="IA23" s="1424"/>
      <c r="IB23" s="1426">
        <f>'План и исполнение'!NQ25</f>
        <v>0</v>
      </c>
      <c r="IC23" s="103">
        <f>'Федеральные  средства  по  МО'!BJ24</f>
        <v>2397379.36</v>
      </c>
      <c r="ID23" s="1424"/>
      <c r="IE23" s="1426">
        <f>'План и исполнение'!OQ25</f>
        <v>2397379.36</v>
      </c>
      <c r="IF23" s="1424">
        <f>'План и исполнение'!PE25</f>
        <v>0</v>
      </c>
      <c r="IG23" s="100">
        <f>'Федеральные  средства  по  МО'!BK24</f>
        <v>149470.78</v>
      </c>
      <c r="IH23" s="1426"/>
      <c r="II23" s="1424">
        <f>'План и исполнение'!OX25</f>
        <v>149470.78</v>
      </c>
      <c r="IJ23" s="1426">
        <f>'План и исполнение'!PL25</f>
        <v>0</v>
      </c>
      <c r="IK23" s="103">
        <f>'Федеральные  средства  по  МО'!BN24</f>
        <v>0</v>
      </c>
      <c r="IL23" s="1424"/>
      <c r="IM23" s="1426"/>
      <c r="IN23" s="1424"/>
      <c r="IO23" s="100">
        <f>'Федеральные  средства  по  МО'!BO24</f>
        <v>0</v>
      </c>
      <c r="IP23" s="1426"/>
      <c r="IQ23" s="1424"/>
      <c r="IR23" s="1426"/>
      <c r="IS23" s="103">
        <f>'Федеральные  средства  по  МО'!BH24</f>
        <v>0</v>
      </c>
      <c r="IT23" s="1424"/>
      <c r="IU23" s="1426">
        <f>'План и исполнение'!OO25</f>
        <v>0</v>
      </c>
      <c r="IV23" s="1424">
        <f>'План и исполнение'!PC25</f>
        <v>0</v>
      </c>
      <c r="IW23" s="100">
        <f>'Федеральные  средства  по  МО'!BI24</f>
        <v>0</v>
      </c>
      <c r="IX23" s="1426"/>
      <c r="IY23" s="1424">
        <f>'План и исполнение'!OV25</f>
        <v>0</v>
      </c>
      <c r="IZ23" s="1426">
        <f>'План и исполнение'!PJ25</f>
        <v>0</v>
      </c>
      <c r="JA23" s="103">
        <f>'Федеральные  средства  по  МО'!BP24</f>
        <v>0</v>
      </c>
      <c r="JB23" s="1424">
        <f>'План и исполнение'!PW25</f>
        <v>0</v>
      </c>
      <c r="JC23" s="1426">
        <f>'План и исполнение'!QI25</f>
        <v>0</v>
      </c>
      <c r="JD23" s="1424">
        <f>'План и исполнение'!QO25</f>
        <v>0</v>
      </c>
      <c r="JE23" s="100">
        <f>'Федеральные  средства  по  МО'!BQ24</f>
        <v>0</v>
      </c>
      <c r="JF23" s="1426">
        <f>'План и исполнение'!PZ25</f>
        <v>0</v>
      </c>
      <c r="JG23" s="1424">
        <f>'План и исполнение'!QL25</f>
        <v>0</v>
      </c>
      <c r="JH23" s="1426">
        <f>'План и исполнение'!QR25</f>
        <v>0</v>
      </c>
      <c r="JI23" s="103">
        <f>'Федеральные  средства  по  МО'!BL24</f>
        <v>0</v>
      </c>
      <c r="JJ23" s="1424">
        <f>'План и исполнение'!NU25</f>
        <v>0</v>
      </c>
      <c r="JK23" s="1426">
        <f>'План и исполнение'!OS25</f>
        <v>0</v>
      </c>
      <c r="JL23" s="1424">
        <f>'План и исполнение'!PG25</f>
        <v>0</v>
      </c>
      <c r="JM23" s="100">
        <f>'Федеральные  средства  по  МО'!BM24</f>
        <v>0</v>
      </c>
      <c r="JN23" s="1426">
        <f>'План и исполнение'!NX25</f>
        <v>0</v>
      </c>
      <c r="JO23" s="1424">
        <f>'План и исполнение'!OZ25</f>
        <v>0</v>
      </c>
      <c r="JP23" s="1425">
        <f>'План и исполнение'!PN25</f>
        <v>0</v>
      </c>
    </row>
    <row r="24" spans="1:276" ht="25.5" customHeight="1" x14ac:dyDescent="0.3">
      <c r="A24" s="105" t="s">
        <v>93</v>
      </c>
      <c r="B24" s="277">
        <f t="shared" si="17"/>
        <v>157060979.02000001</v>
      </c>
      <c r="C24" s="1422">
        <f t="shared" si="0"/>
        <v>146282201.40000001</v>
      </c>
      <c r="D24" s="1422">
        <f t="shared" si="1"/>
        <v>10778777.619999999</v>
      </c>
      <c r="E24" s="1422">
        <f t="shared" si="18"/>
        <v>0</v>
      </c>
      <c r="F24" s="277">
        <f t="shared" si="19"/>
        <v>11200917.91</v>
      </c>
      <c r="G24" s="1422">
        <f t="shared" si="20"/>
        <v>8914364.0600000005</v>
      </c>
      <c r="H24" s="1422">
        <f t="shared" si="21"/>
        <v>2286553.8499999996</v>
      </c>
      <c r="I24" s="1422">
        <f t="shared" si="22"/>
        <v>0</v>
      </c>
      <c r="J24" s="105"/>
      <c r="K24" s="1421">
        <f>M24-'Федеральные  средства  по  МО'!D25</f>
        <v>0</v>
      </c>
      <c r="L24" s="1421">
        <f>Q24-'Федеральные  средства  по  МО'!E25</f>
        <v>0</v>
      </c>
      <c r="M24" s="277">
        <f t="shared" si="23"/>
        <v>157060979.02000001</v>
      </c>
      <c r="N24" s="1422">
        <f t="shared" si="24"/>
        <v>146282201.40000001</v>
      </c>
      <c r="O24" s="1422">
        <f t="shared" si="25"/>
        <v>10778777.619999999</v>
      </c>
      <c r="P24" s="1422">
        <f t="shared" si="26"/>
        <v>0</v>
      </c>
      <c r="Q24" s="277">
        <f t="shared" si="27"/>
        <v>11200917.91</v>
      </c>
      <c r="R24" s="1422">
        <f t="shared" si="28"/>
        <v>8914364.0600000005</v>
      </c>
      <c r="S24" s="1422">
        <f t="shared" si="29"/>
        <v>2286553.8499999996</v>
      </c>
      <c r="T24" s="1422">
        <f t="shared" si="30"/>
        <v>0</v>
      </c>
      <c r="U24" s="103">
        <f>'Федеральные  средства  по  МО'!F25</f>
        <v>0</v>
      </c>
      <c r="V24" s="1424">
        <f t="shared" si="31"/>
        <v>0</v>
      </c>
      <c r="W24" s="1426"/>
      <c r="X24" s="1424"/>
      <c r="Y24" s="101">
        <f>'Федеральные  средства  по  МО'!G25</f>
        <v>0</v>
      </c>
      <c r="Z24" s="1426">
        <f t="shared" si="32"/>
        <v>0</v>
      </c>
      <c r="AA24" s="1424"/>
      <c r="AB24" s="1425"/>
      <c r="AC24" s="1546">
        <f>'Федеральные  средства  по  МО'!H25</f>
        <v>0</v>
      </c>
      <c r="AD24" s="1537">
        <f>'План и исполнение'!CQ26</f>
        <v>0</v>
      </c>
      <c r="AE24" s="1538">
        <f>'План и исполнение'!CU26</f>
        <v>0</v>
      </c>
      <c r="AF24" s="1537">
        <f>'План и исполнение'!CW26</f>
        <v>0</v>
      </c>
      <c r="AG24" s="1539">
        <f>'Федеральные  средства  по  МО'!I25</f>
        <v>0</v>
      </c>
      <c r="AH24" s="1538">
        <f>'План и исполнение'!CR26</f>
        <v>0</v>
      </c>
      <c r="AI24" s="1537">
        <f>'План и исполнение'!CV26</f>
        <v>0</v>
      </c>
      <c r="AJ24" s="1538">
        <f>'План и исполнение'!CX26</f>
        <v>0</v>
      </c>
      <c r="AK24" s="1575">
        <f>'Федеральные  средства  по  МО'!J25</f>
        <v>0</v>
      </c>
      <c r="AL24" s="1576"/>
      <c r="AM24" s="1538"/>
      <c r="AN24" s="1577"/>
      <c r="AO24" s="1575">
        <f>'Федеральные  средства  по  МО'!K25</f>
        <v>0</v>
      </c>
      <c r="AP24" s="1538"/>
      <c r="AQ24" s="1537"/>
      <c r="AR24" s="1538"/>
      <c r="AS24" s="1529">
        <f>'Федеральные  средства  по  МО'!L25</f>
        <v>0</v>
      </c>
      <c r="AT24" s="1537">
        <f t="shared" si="3"/>
        <v>0</v>
      </c>
      <c r="AU24" s="1537"/>
      <c r="AV24" s="1538"/>
      <c r="AW24" s="1575">
        <f>'Федеральные  средства  по  МО'!M25</f>
        <v>0</v>
      </c>
      <c r="AX24" s="1537">
        <f t="shared" si="4"/>
        <v>0</v>
      </c>
      <c r="AY24" s="1538"/>
      <c r="AZ24" s="1537"/>
      <c r="BA24" s="1546">
        <f>'Федеральные  средства  по  МО'!N25</f>
        <v>0</v>
      </c>
      <c r="BB24" s="1537">
        <f t="shared" si="5"/>
        <v>0</v>
      </c>
      <c r="BC24" s="1538"/>
      <c r="BD24" s="1537"/>
      <c r="BE24" s="1546">
        <f>'Федеральные  средства  по  МО'!O25</f>
        <v>0</v>
      </c>
      <c r="BF24" s="1537">
        <f t="shared" si="6"/>
        <v>0</v>
      </c>
      <c r="BG24" s="1537"/>
      <c r="BH24" s="1538"/>
      <c r="BI24" s="1578">
        <f>'Федеральные  средства  по  МО'!P25</f>
        <v>0</v>
      </c>
      <c r="BJ24" s="1537">
        <f t="shared" si="7"/>
        <v>0</v>
      </c>
      <c r="BK24" s="1537"/>
      <c r="BL24" s="1576"/>
      <c r="BM24" s="1539">
        <f>'Федеральные  средства  по  МО'!Q25</f>
        <v>0</v>
      </c>
      <c r="BN24" s="1537">
        <f t="shared" si="8"/>
        <v>0</v>
      </c>
      <c r="BO24" s="1537"/>
      <c r="BP24" s="1538"/>
      <c r="BQ24" s="1575">
        <f>'Федеральные  средства  по  МО'!R25</f>
        <v>0</v>
      </c>
      <c r="BR24" s="1537">
        <f t="shared" si="9"/>
        <v>0</v>
      </c>
      <c r="BS24" s="1537"/>
      <c r="BT24" s="1576"/>
      <c r="BU24" s="1546">
        <f>'Федеральные  средства  по  МО'!S25</f>
        <v>0</v>
      </c>
      <c r="BV24" s="1537">
        <f t="shared" si="10"/>
        <v>0</v>
      </c>
      <c r="BW24" s="1537"/>
      <c r="BX24" s="1538"/>
      <c r="BY24" s="1529">
        <f>'Федеральные  средства  по  МО'!T25</f>
        <v>0</v>
      </c>
      <c r="BZ24" s="1537">
        <f t="shared" si="11"/>
        <v>0</v>
      </c>
      <c r="CA24" s="1538"/>
      <c r="CB24" s="1537"/>
      <c r="CC24" s="1539">
        <f>'Федеральные  средства  по  МО'!U25</f>
        <v>0</v>
      </c>
      <c r="CD24" s="1537">
        <f t="shared" si="12"/>
        <v>0</v>
      </c>
      <c r="CE24" s="1537"/>
      <c r="CF24" s="1538"/>
      <c r="CG24" s="1529">
        <f>'Федеральные  средства  по  МО'!V25</f>
        <v>0</v>
      </c>
      <c r="CH24" s="1537"/>
      <c r="CI24" s="1538"/>
      <c r="CJ24" s="1537"/>
      <c r="CK24" s="1539">
        <f>'Федеральные  средства  по  МО'!W25</f>
        <v>0</v>
      </c>
      <c r="CL24" s="1538"/>
      <c r="CM24" s="1537"/>
      <c r="CN24" s="1538"/>
      <c r="CO24" s="1529">
        <f>'Федеральные  средства  по  МО'!X25</f>
        <v>0</v>
      </c>
      <c r="CP24" s="1537">
        <f t="shared" si="13"/>
        <v>0</v>
      </c>
      <c r="CQ24" s="1538"/>
      <c r="CR24" s="1537"/>
      <c r="CS24" s="1539">
        <f>'Федеральные  средства  по  МО'!Y25</f>
        <v>0</v>
      </c>
      <c r="CT24" s="1537">
        <f t="shared" si="33"/>
        <v>0</v>
      </c>
      <c r="CU24" s="1537"/>
      <c r="CV24" s="1538"/>
      <c r="CW24" s="1529">
        <f>'Федеральные  средства  по  МО'!Z25</f>
        <v>0</v>
      </c>
      <c r="CX24" s="1537"/>
      <c r="CY24" s="1537"/>
      <c r="CZ24" s="1538"/>
      <c r="DA24" s="1575">
        <f>'Федеральные  средства  по  МО'!AA25</f>
        <v>0</v>
      </c>
      <c r="DB24" s="1538"/>
      <c r="DC24" s="1537"/>
      <c r="DD24" s="1538"/>
      <c r="DE24" s="1529">
        <f>'Федеральные  средства  по  МО'!AB25</f>
        <v>0</v>
      </c>
      <c r="DF24" s="1537"/>
      <c r="DG24" s="1538"/>
      <c r="DH24" s="1537"/>
      <c r="DI24" s="1539">
        <f>'Федеральные  средства  по  МО'!AC25</f>
        <v>0</v>
      </c>
      <c r="DJ24" s="1538"/>
      <c r="DK24" s="1537"/>
      <c r="DL24" s="1538"/>
      <c r="DM24" s="1529">
        <f>'Федеральные  средства  по  МО'!AD25</f>
        <v>0</v>
      </c>
      <c r="DN24" s="1537">
        <f t="shared" si="14"/>
        <v>0</v>
      </c>
      <c r="DO24" s="1538"/>
      <c r="DP24" s="1537"/>
      <c r="DQ24" s="1539">
        <f>'Федеральные  средства  по  МО'!AE25</f>
        <v>0</v>
      </c>
      <c r="DR24" s="1537">
        <f t="shared" si="15"/>
        <v>0</v>
      </c>
      <c r="DS24" s="1537"/>
      <c r="DT24" s="1538"/>
      <c r="DU24" s="1529">
        <f>'Федеральные  средства  по  МО'!AF25</f>
        <v>1745336.24</v>
      </c>
      <c r="DV24" s="1537">
        <f>'План и исполнение'!GK26</f>
        <v>0</v>
      </c>
      <c r="DW24" s="1537">
        <f>'План и исполнение'!HE26</f>
        <v>1745336.24</v>
      </c>
      <c r="DX24" s="1538">
        <f>'План и исполнение'!HO26</f>
        <v>0</v>
      </c>
      <c r="DY24" s="1575">
        <f>'Федеральные  средства  по  МО'!AG25</f>
        <v>293580.3</v>
      </c>
      <c r="DZ24" s="1538">
        <f>'План и исполнение'!GP26</f>
        <v>0</v>
      </c>
      <c r="EA24" s="1537">
        <f>'План и исполнение'!HJ26</f>
        <v>293580.3</v>
      </c>
      <c r="EB24" s="1538">
        <f>'План и исполнение'!HT26</f>
        <v>0</v>
      </c>
      <c r="EC24" s="1529">
        <f>'Федеральные  средства  по  МО'!AH25</f>
        <v>0</v>
      </c>
      <c r="ED24" s="1537"/>
      <c r="EE24" s="1538"/>
      <c r="EF24" s="1537"/>
      <c r="EG24" s="1539">
        <f>'Федеральные  средства  по  МО'!AI25</f>
        <v>0</v>
      </c>
      <c r="EH24" s="1538"/>
      <c r="EI24" s="1537"/>
      <c r="EJ24" s="1538"/>
      <c r="EK24" s="1529">
        <f>'Федеральные  средства  по  МО'!AJ25</f>
        <v>0</v>
      </c>
      <c r="EL24" s="1537">
        <f t="shared" si="34"/>
        <v>0</v>
      </c>
      <c r="EM24" s="1538"/>
      <c r="EN24" s="1537"/>
      <c r="EO24" s="1539">
        <f>'Федеральные  средства  по  МО'!AK25</f>
        <v>0</v>
      </c>
      <c r="EP24" s="1537">
        <f t="shared" si="35"/>
        <v>0</v>
      </c>
      <c r="EQ24" s="1537"/>
      <c r="ER24" s="1538"/>
      <c r="ES24" s="103">
        <f>'Федеральные  средства  по  МО'!AL25</f>
        <v>0</v>
      </c>
      <c r="ET24" s="1424">
        <f t="shared" si="36"/>
        <v>0</v>
      </c>
      <c r="EU24" s="1426"/>
      <c r="EV24" s="1424"/>
      <c r="EW24" s="100">
        <f>'Федеральные  средства  по  МО'!AM25</f>
        <v>0</v>
      </c>
      <c r="EX24" s="1576">
        <f t="shared" si="37"/>
        <v>0</v>
      </c>
      <c r="EY24" s="1537"/>
      <c r="EZ24" s="1538"/>
      <c r="FA24" s="1529">
        <f>'Федеральные  средства  по  МО'!AN25</f>
        <v>0</v>
      </c>
      <c r="FB24" s="1537"/>
      <c r="FC24" s="1538"/>
      <c r="FD24" s="1537"/>
      <c r="FE24" s="1539">
        <f>'Федеральные  средства  по  МО'!AO25</f>
        <v>0</v>
      </c>
      <c r="FF24" s="1538"/>
      <c r="FG24" s="1537"/>
      <c r="FH24" s="1538"/>
      <c r="FI24" s="1529">
        <f>'Федеральные  средства  по  МО'!AP25</f>
        <v>753594.34</v>
      </c>
      <c r="FJ24" s="1537">
        <f>'План и исполнение'!IO26</f>
        <v>0</v>
      </c>
      <c r="FK24" s="1538">
        <f>'План и исполнение'!JA26</f>
        <v>753594.34</v>
      </c>
      <c r="FL24" s="1537">
        <f>'План и исполнение'!JG26</f>
        <v>0</v>
      </c>
      <c r="FM24" s="1539">
        <f>'Федеральные  средства  по  МО'!AQ25</f>
        <v>753594.34</v>
      </c>
      <c r="FN24" s="1538">
        <f>'План и исполнение'!IR26</f>
        <v>0</v>
      </c>
      <c r="FO24" s="1537">
        <f>'План и исполнение'!JD26</f>
        <v>753594.34</v>
      </c>
      <c r="FP24" s="1538">
        <f>'План и исполнение'!JJ26</f>
        <v>0</v>
      </c>
      <c r="FQ24" s="1529">
        <f>'Федеральные  средства  по  МО'!AR25</f>
        <v>0</v>
      </c>
      <c r="FR24" s="1537">
        <f t="shared" si="38"/>
        <v>0</v>
      </c>
      <c r="FS24" s="1538"/>
      <c r="FT24" s="1537"/>
      <c r="FU24" s="1539">
        <f>'Федеральные  средства  по  МО'!AS25</f>
        <v>0</v>
      </c>
      <c r="FV24" s="1537">
        <f t="shared" si="39"/>
        <v>0</v>
      </c>
      <c r="FW24" s="1537"/>
      <c r="FX24" s="1538"/>
      <c r="FY24" s="1529">
        <f>'Федеральные  средства  по  МО'!AT25</f>
        <v>23201.4</v>
      </c>
      <c r="FZ24" s="1537">
        <f>'План и исполнение'!JU26</f>
        <v>23201.4</v>
      </c>
      <c r="GA24" s="1538">
        <f>'План и исполнение'!KO26</f>
        <v>0</v>
      </c>
      <c r="GB24" s="1537">
        <f>'План и исполнение'!KY26</f>
        <v>0</v>
      </c>
      <c r="GC24" s="1539">
        <f>'Федеральные  средства  по  МО'!AU25</f>
        <v>0</v>
      </c>
      <c r="GD24" s="1538">
        <f>'План и исполнение'!JZ26</f>
        <v>0</v>
      </c>
      <c r="GE24" s="1537">
        <f>'План и исполнение'!KT26</f>
        <v>0</v>
      </c>
      <c r="GF24" s="1538">
        <f>'План и исполнение'!LD26</f>
        <v>0</v>
      </c>
      <c r="GG24" s="1529">
        <f>'Федеральные  средства  по  МО'!AV25</f>
        <v>0</v>
      </c>
      <c r="GH24" s="1537"/>
      <c r="GI24" s="1538">
        <f>'План и исполнение'!KM26</f>
        <v>0</v>
      </c>
      <c r="GJ24" s="1537">
        <f>'План и исполнение'!KW26</f>
        <v>0</v>
      </c>
      <c r="GK24" s="1539">
        <f>'Федеральные  средства  по  МО'!AW25</f>
        <v>0</v>
      </c>
      <c r="GL24" s="1538"/>
      <c r="GM24" s="1537">
        <f>'План и исполнение'!KR26</f>
        <v>0</v>
      </c>
      <c r="GN24" s="1538">
        <f>'План и исполнение'!LB26</f>
        <v>0</v>
      </c>
      <c r="GO24" s="1529">
        <f>'Федеральные  средства  по  МО'!AX25</f>
        <v>0</v>
      </c>
      <c r="GP24" s="1537">
        <f t="shared" si="40"/>
        <v>0</v>
      </c>
      <c r="GQ24" s="1538"/>
      <c r="GR24" s="1537"/>
      <c r="GS24" s="1546">
        <f>'Федеральные  средства  по  МО'!AY25</f>
        <v>0</v>
      </c>
      <c r="GT24" s="1537">
        <f t="shared" si="16"/>
        <v>0</v>
      </c>
      <c r="GU24" s="1538"/>
      <c r="GV24" s="1537"/>
      <c r="GW24" s="1546">
        <f>'Федеральные  средства  по  МО'!AZ25</f>
        <v>0</v>
      </c>
      <c r="GX24" s="1537"/>
      <c r="GY24" s="1538"/>
      <c r="GZ24" s="1537"/>
      <c r="HA24" s="1539">
        <f>'Федеральные  средства  по  МО'!BA25</f>
        <v>0</v>
      </c>
      <c r="HB24" s="1538"/>
      <c r="HC24" s="1537"/>
      <c r="HD24" s="1538"/>
      <c r="HE24" s="1529">
        <f>'Федеральные  средства  по  МО'!BB25</f>
        <v>0</v>
      </c>
      <c r="HF24" s="1537"/>
      <c r="HG24" s="1538"/>
      <c r="HH24" s="1537"/>
      <c r="HI24" s="1546">
        <f>'Федеральные  средства  по  МО'!BC25</f>
        <v>0</v>
      </c>
      <c r="HJ24" s="1537"/>
      <c r="HK24" s="1538"/>
      <c r="HL24" s="1537"/>
      <c r="HM24" s="1546">
        <f>'Федеральные  средства  по  МО'!BD25</f>
        <v>0</v>
      </c>
      <c r="HN24" s="1537"/>
      <c r="HO24" s="1538"/>
      <c r="HP24" s="1537"/>
      <c r="HQ24" s="1539">
        <f>'Федеральные  средства  по  МО'!BE25</f>
        <v>0</v>
      </c>
      <c r="HR24" s="1538"/>
      <c r="HS24" s="1537"/>
      <c r="HT24" s="1538"/>
      <c r="HU24" s="1529">
        <f>'Федеральные  средства  по  МО'!BF25</f>
        <v>0</v>
      </c>
      <c r="HV24" s="1537"/>
      <c r="HW24" s="1538"/>
      <c r="HX24" s="1537">
        <f>'План и исполнение'!NM26</f>
        <v>0</v>
      </c>
      <c r="HY24" s="1539">
        <f>'Федеральные  средства  по  МО'!BG25</f>
        <v>0</v>
      </c>
      <c r="HZ24" s="1538"/>
      <c r="IA24" s="1537"/>
      <c r="IB24" s="1538">
        <f>'План и исполнение'!NQ26</f>
        <v>0</v>
      </c>
      <c r="IC24" s="1529">
        <f>'Федеральные  средства  по  МО'!BJ25</f>
        <v>8279847.0399999991</v>
      </c>
      <c r="ID24" s="1537"/>
      <c r="IE24" s="1538">
        <f>'План и исполнение'!OQ26</f>
        <v>8279847.0399999991</v>
      </c>
      <c r="IF24" s="1537">
        <f>'План и исполнение'!PE26</f>
        <v>0</v>
      </c>
      <c r="IG24" s="1539">
        <f>'Федеральные  средства  по  МО'!BK25</f>
        <v>1239379.21</v>
      </c>
      <c r="IH24" s="1538"/>
      <c r="II24" s="1537">
        <f>'План и исполнение'!OX26</f>
        <v>1239379.21</v>
      </c>
      <c r="IJ24" s="1538">
        <f>'План и исполнение'!PL26</f>
        <v>0</v>
      </c>
      <c r="IK24" s="1529">
        <f>'Федеральные  средства  по  МО'!BN25</f>
        <v>0</v>
      </c>
      <c r="IL24" s="1537"/>
      <c r="IM24" s="1538"/>
      <c r="IN24" s="1537"/>
      <c r="IO24" s="1539">
        <f>'Федеральные  средства  по  МО'!BO25</f>
        <v>0</v>
      </c>
      <c r="IP24" s="1538"/>
      <c r="IQ24" s="1537"/>
      <c r="IR24" s="1538"/>
      <c r="IS24" s="1529">
        <f>'Федеральные  средства  по  МО'!BH25</f>
        <v>0</v>
      </c>
      <c r="IT24" s="1537"/>
      <c r="IU24" s="1538">
        <f>'План и исполнение'!OO26</f>
        <v>0</v>
      </c>
      <c r="IV24" s="1537">
        <f>'План и исполнение'!PC26</f>
        <v>0</v>
      </c>
      <c r="IW24" s="1539">
        <f>'Федеральные  средства  по  МО'!BI25</f>
        <v>0</v>
      </c>
      <c r="IX24" s="1538"/>
      <c r="IY24" s="1537">
        <f>'План и исполнение'!OV26</f>
        <v>0</v>
      </c>
      <c r="IZ24" s="1538">
        <f>'План и исполнение'!PJ26</f>
        <v>0</v>
      </c>
      <c r="JA24" s="1529">
        <f>'Федеральные  средства  по  МО'!BP25</f>
        <v>0</v>
      </c>
      <c r="JB24" s="1537">
        <f>'План и исполнение'!PW26</f>
        <v>0</v>
      </c>
      <c r="JC24" s="1538">
        <f>'План и исполнение'!QI26</f>
        <v>0</v>
      </c>
      <c r="JD24" s="1537">
        <f>'План и исполнение'!QO26</f>
        <v>0</v>
      </c>
      <c r="JE24" s="1539">
        <f>'Федеральные  средства  по  МО'!BQ25</f>
        <v>0</v>
      </c>
      <c r="JF24" s="1538">
        <f>'План и исполнение'!PZ26</f>
        <v>0</v>
      </c>
      <c r="JG24" s="1537">
        <f>'План и исполнение'!QL26</f>
        <v>0</v>
      </c>
      <c r="JH24" s="1538">
        <f>'План и исполнение'!QR26</f>
        <v>0</v>
      </c>
      <c r="JI24" s="1529">
        <f>'Федеральные  средства  по  МО'!BL25</f>
        <v>146259000</v>
      </c>
      <c r="JJ24" s="1537">
        <f>'План и исполнение'!NU26</f>
        <v>146259000</v>
      </c>
      <c r="JK24" s="1538">
        <f>'План и исполнение'!OS26</f>
        <v>0</v>
      </c>
      <c r="JL24" s="1537">
        <f>'План и исполнение'!PG26</f>
        <v>0</v>
      </c>
      <c r="JM24" s="1539">
        <f>'Федеральные  средства  по  МО'!BM25</f>
        <v>8914364.0600000005</v>
      </c>
      <c r="JN24" s="1538">
        <f>'План и исполнение'!NX26</f>
        <v>8914364.0600000005</v>
      </c>
      <c r="JO24" s="1537">
        <f>'План и исполнение'!OZ26</f>
        <v>0</v>
      </c>
      <c r="JP24" s="1576">
        <f>'План и исполнение'!PN26</f>
        <v>0</v>
      </c>
    </row>
    <row r="25" spans="1:276" ht="25.5" customHeight="1" x14ac:dyDescent="0.3">
      <c r="A25" s="102" t="s">
        <v>94</v>
      </c>
      <c r="B25" s="277">
        <f t="shared" si="17"/>
        <v>291058291.32999998</v>
      </c>
      <c r="C25" s="1422">
        <f t="shared" si="0"/>
        <v>261588001.93000001</v>
      </c>
      <c r="D25" s="1422">
        <f t="shared" si="1"/>
        <v>12940289.4</v>
      </c>
      <c r="E25" s="1422">
        <f t="shared" si="18"/>
        <v>16529999.999999996</v>
      </c>
      <c r="F25" s="277">
        <f t="shared" si="19"/>
        <v>262495379.06999999</v>
      </c>
      <c r="G25" s="1422">
        <f t="shared" si="20"/>
        <v>261556401.11000001</v>
      </c>
      <c r="H25" s="1422">
        <f t="shared" si="21"/>
        <v>426146.82</v>
      </c>
      <c r="I25" s="1422">
        <f t="shared" si="22"/>
        <v>512831.13999999966</v>
      </c>
      <c r="J25" s="105"/>
      <c r="K25" s="1421">
        <f>M25-'Федеральные  средства  по  МО'!D26</f>
        <v>0</v>
      </c>
      <c r="L25" s="1421">
        <f>Q25-'Федеральные  средства  по  МО'!E26</f>
        <v>0</v>
      </c>
      <c r="M25" s="277">
        <f t="shared" si="23"/>
        <v>311807821.01999998</v>
      </c>
      <c r="N25" s="1422">
        <f t="shared" si="24"/>
        <v>261588001.93000001</v>
      </c>
      <c r="O25" s="1422">
        <f t="shared" si="25"/>
        <v>12940289.4</v>
      </c>
      <c r="P25" s="1422">
        <f t="shared" si="26"/>
        <v>37279529.689999998</v>
      </c>
      <c r="Q25" s="277">
        <f t="shared" si="27"/>
        <v>268720237.98000002</v>
      </c>
      <c r="R25" s="1422">
        <f t="shared" si="28"/>
        <v>261556401.11000001</v>
      </c>
      <c r="S25" s="1422">
        <f t="shared" si="29"/>
        <v>426146.82</v>
      </c>
      <c r="T25" s="1422">
        <f t="shared" si="30"/>
        <v>6737690.0499999998</v>
      </c>
      <c r="U25" s="103">
        <f>'Федеральные  средства  по  МО'!F26</f>
        <v>0</v>
      </c>
      <c r="V25" s="1424">
        <f t="shared" si="31"/>
        <v>0</v>
      </c>
      <c r="W25" s="1426"/>
      <c r="X25" s="1424"/>
      <c r="Y25" s="101">
        <f>'Федеральные  средства  по  МО'!G26</f>
        <v>0</v>
      </c>
      <c r="Z25" s="1426">
        <f t="shared" si="32"/>
        <v>0</v>
      </c>
      <c r="AA25" s="1424"/>
      <c r="AB25" s="1425"/>
      <c r="AC25" s="104">
        <f>'Федеральные  средства  по  МО'!H26</f>
        <v>20749529.690000001</v>
      </c>
      <c r="AD25" s="1424">
        <f>'План и исполнение'!CQ27</f>
        <v>0</v>
      </c>
      <c r="AE25" s="1426">
        <f>'План и исполнение'!CU27</f>
        <v>0</v>
      </c>
      <c r="AF25" s="1424">
        <f>'План и исполнение'!CW27</f>
        <v>20749529.690000001</v>
      </c>
      <c r="AG25" s="100">
        <f>'Федеральные  средства  по  МО'!I26</f>
        <v>6224858.9100000001</v>
      </c>
      <c r="AH25" s="1426">
        <f>'План и исполнение'!CR27</f>
        <v>0</v>
      </c>
      <c r="AI25" s="1424">
        <f>'План и исполнение'!CV27</f>
        <v>0</v>
      </c>
      <c r="AJ25" s="1426">
        <f>'План и исполнение'!CX27</f>
        <v>6224858.9100000001</v>
      </c>
      <c r="AK25" s="101">
        <f>'Федеральные  средства  по  МО'!J26</f>
        <v>0</v>
      </c>
      <c r="AL25" s="1425"/>
      <c r="AM25" s="1426"/>
      <c r="AN25" s="1423"/>
      <c r="AO25" s="101">
        <f>'Федеральные  средства  по  МО'!K26</f>
        <v>0</v>
      </c>
      <c r="AP25" s="1426"/>
      <c r="AQ25" s="1424"/>
      <c r="AR25" s="1426"/>
      <c r="AS25" s="103">
        <f>'Федеральные  средства  по  МО'!L26</f>
        <v>0</v>
      </c>
      <c r="AT25" s="1424">
        <f t="shared" si="3"/>
        <v>0</v>
      </c>
      <c r="AU25" s="1424"/>
      <c r="AV25" s="1426"/>
      <c r="AW25" s="101">
        <f>'Федеральные  средства  по  МО'!M26</f>
        <v>0</v>
      </c>
      <c r="AX25" s="1424">
        <f t="shared" si="4"/>
        <v>0</v>
      </c>
      <c r="AY25" s="1426"/>
      <c r="AZ25" s="1424"/>
      <c r="BA25" s="104">
        <f>'Федеральные  средства  по  МО'!N26</f>
        <v>0</v>
      </c>
      <c r="BB25" s="1424">
        <f t="shared" si="5"/>
        <v>0</v>
      </c>
      <c r="BC25" s="1426"/>
      <c r="BD25" s="1424"/>
      <c r="BE25" s="104">
        <f>'Федеральные  средства  по  МО'!O26</f>
        <v>0</v>
      </c>
      <c r="BF25" s="1424">
        <f t="shared" si="6"/>
        <v>0</v>
      </c>
      <c r="BG25" s="1424"/>
      <c r="BH25" s="1426"/>
      <c r="BI25" s="1528">
        <f>'Федеральные  средства  по  МО'!P26</f>
        <v>0</v>
      </c>
      <c r="BJ25" s="1424">
        <f t="shared" si="7"/>
        <v>0</v>
      </c>
      <c r="BK25" s="1424"/>
      <c r="BL25" s="1425"/>
      <c r="BM25" s="100">
        <f>'Федеральные  средства  по  МО'!Q26</f>
        <v>0</v>
      </c>
      <c r="BN25" s="1424">
        <f t="shared" si="8"/>
        <v>0</v>
      </c>
      <c r="BO25" s="1424"/>
      <c r="BP25" s="1426"/>
      <c r="BQ25" s="101">
        <f>'Федеральные  средства  по  МО'!R26</f>
        <v>0</v>
      </c>
      <c r="BR25" s="1424">
        <f t="shared" si="9"/>
        <v>0</v>
      </c>
      <c r="BS25" s="1424"/>
      <c r="BT25" s="1425"/>
      <c r="BU25" s="104">
        <f>'Федеральные  средства  по  МО'!S26</f>
        <v>0</v>
      </c>
      <c r="BV25" s="1424">
        <f t="shared" si="10"/>
        <v>0</v>
      </c>
      <c r="BW25" s="1424"/>
      <c r="BX25" s="1425"/>
      <c r="BY25" s="103">
        <f>'Федеральные  средства  по  МО'!T26</f>
        <v>0</v>
      </c>
      <c r="BZ25" s="1424">
        <f t="shared" si="11"/>
        <v>0</v>
      </c>
      <c r="CA25" s="1426"/>
      <c r="CB25" s="1424"/>
      <c r="CC25" s="100">
        <f>'Федеральные  средства  по  МО'!U26</f>
        <v>0</v>
      </c>
      <c r="CD25" s="1424">
        <f t="shared" si="12"/>
        <v>0</v>
      </c>
      <c r="CE25" s="1424"/>
      <c r="CF25" s="1426"/>
      <c r="CG25" s="103">
        <f>'Федеральные  средства  по  МО'!V26</f>
        <v>0</v>
      </c>
      <c r="CH25" s="1424"/>
      <c r="CI25" s="1426"/>
      <c r="CJ25" s="1424"/>
      <c r="CK25" s="100">
        <f>'Федеральные  средства  по  МО'!W26</f>
        <v>0</v>
      </c>
      <c r="CL25" s="1426"/>
      <c r="CM25" s="1424"/>
      <c r="CN25" s="1426"/>
      <c r="CO25" s="103">
        <f>'Федеральные  средства  по  МО'!X26</f>
        <v>0</v>
      </c>
      <c r="CP25" s="1424">
        <f t="shared" si="13"/>
        <v>0</v>
      </c>
      <c r="CQ25" s="1426"/>
      <c r="CR25" s="1424"/>
      <c r="CS25" s="100">
        <f>'Федеральные  средства  по  МО'!Y26</f>
        <v>0</v>
      </c>
      <c r="CT25" s="1424">
        <f t="shared" si="33"/>
        <v>0</v>
      </c>
      <c r="CU25" s="1424"/>
      <c r="CV25" s="1426"/>
      <c r="CW25" s="103">
        <f>'Федеральные  средства  по  МО'!Z26</f>
        <v>0</v>
      </c>
      <c r="CX25" s="1424"/>
      <c r="CY25" s="1424"/>
      <c r="CZ25" s="1426"/>
      <c r="DA25" s="101">
        <f>'Федеральные  средства  по  МО'!AA26</f>
        <v>0</v>
      </c>
      <c r="DB25" s="1426"/>
      <c r="DC25" s="1424"/>
      <c r="DD25" s="1426"/>
      <c r="DE25" s="103">
        <f>'Федеральные  средства  по  МО'!AB26</f>
        <v>0</v>
      </c>
      <c r="DF25" s="1424"/>
      <c r="DG25" s="1426"/>
      <c r="DH25" s="1424"/>
      <c r="DI25" s="100">
        <f>'Федеральные  средства  по  МО'!AC26</f>
        <v>0</v>
      </c>
      <c r="DJ25" s="1426"/>
      <c r="DK25" s="1424"/>
      <c r="DL25" s="1426"/>
      <c r="DM25" s="103">
        <f>'Федеральные  средства  по  МО'!AD26</f>
        <v>0</v>
      </c>
      <c r="DN25" s="1424">
        <f t="shared" si="14"/>
        <v>0</v>
      </c>
      <c r="DO25" s="1426"/>
      <c r="DP25" s="1424"/>
      <c r="DQ25" s="100">
        <f>'Федеральные  средства  по  МО'!AE26</f>
        <v>0</v>
      </c>
      <c r="DR25" s="1424">
        <f t="shared" si="15"/>
        <v>0</v>
      </c>
      <c r="DS25" s="1424"/>
      <c r="DT25" s="1426"/>
      <c r="DU25" s="103">
        <f>'Федеральные  средства  по  МО'!AF26</f>
        <v>0</v>
      </c>
      <c r="DV25" s="1424">
        <f>'План и исполнение'!GK27</f>
        <v>0</v>
      </c>
      <c r="DW25" s="1424">
        <f>'План и исполнение'!HE27</f>
        <v>0</v>
      </c>
      <c r="DX25" s="1426">
        <f>'План и исполнение'!HO27</f>
        <v>0</v>
      </c>
      <c r="DY25" s="101">
        <f>'Федеральные  средства  по  МО'!AG26</f>
        <v>0</v>
      </c>
      <c r="DZ25" s="1426">
        <f>'План и исполнение'!GP27</f>
        <v>0</v>
      </c>
      <c r="EA25" s="1424">
        <f>'План и исполнение'!HJ27</f>
        <v>0</v>
      </c>
      <c r="EB25" s="1426">
        <f>'План и исполнение'!HT27</f>
        <v>0</v>
      </c>
      <c r="EC25" s="103">
        <f>'Федеральные  средства  по  МО'!AH26</f>
        <v>0</v>
      </c>
      <c r="ED25" s="1424"/>
      <c r="EE25" s="1426"/>
      <c r="EF25" s="1424"/>
      <c r="EG25" s="100">
        <f>'Федеральные  средства  по  МО'!AI26</f>
        <v>0</v>
      </c>
      <c r="EH25" s="1426"/>
      <c r="EI25" s="1424"/>
      <c r="EJ25" s="1426"/>
      <c r="EK25" s="103">
        <f>'Федеральные  средства  по  МО'!AJ26</f>
        <v>0</v>
      </c>
      <c r="EL25" s="1424">
        <f t="shared" si="34"/>
        <v>0</v>
      </c>
      <c r="EM25" s="1426"/>
      <c r="EN25" s="1424"/>
      <c r="EO25" s="100">
        <f>'Федеральные  средства  по  МО'!AK26</f>
        <v>0</v>
      </c>
      <c r="EP25" s="1424">
        <f t="shared" si="35"/>
        <v>0</v>
      </c>
      <c r="EQ25" s="1424"/>
      <c r="ER25" s="1426"/>
      <c r="ES25" s="103">
        <f>'Федеральные  средства  по  МО'!AL26</f>
        <v>0</v>
      </c>
      <c r="ET25" s="1424">
        <f t="shared" si="36"/>
        <v>0</v>
      </c>
      <c r="EU25" s="1426"/>
      <c r="EV25" s="1424"/>
      <c r="EW25" s="100">
        <f>'Федеральные  средства  по  МО'!AM26</f>
        <v>0</v>
      </c>
      <c r="EX25" s="1425">
        <f t="shared" si="37"/>
        <v>0</v>
      </c>
      <c r="EY25" s="1424"/>
      <c r="EZ25" s="1426"/>
      <c r="FA25" s="103">
        <f>'Федеральные  средства  по  МО'!AN26</f>
        <v>0</v>
      </c>
      <c r="FB25" s="1424"/>
      <c r="FC25" s="1426"/>
      <c r="FD25" s="1424"/>
      <c r="FE25" s="100">
        <f>'Федеральные  средства  по  МО'!AO26</f>
        <v>0</v>
      </c>
      <c r="FF25" s="1426"/>
      <c r="FG25" s="1424"/>
      <c r="FH25" s="1426"/>
      <c r="FI25" s="103">
        <f>'Федеральные  средства  по  МО'!AP26</f>
        <v>676148.74</v>
      </c>
      <c r="FJ25" s="1424">
        <f>'План и исполнение'!IO27</f>
        <v>250001.93</v>
      </c>
      <c r="FK25" s="1426">
        <f>'План и исполнение'!JA27</f>
        <v>426146.81</v>
      </c>
      <c r="FL25" s="1424">
        <f>'План и исполнение'!JG27</f>
        <v>0</v>
      </c>
      <c r="FM25" s="100">
        <f>'Федеральные  средства  по  МО'!AQ26</f>
        <v>644547.92999999993</v>
      </c>
      <c r="FN25" s="1426">
        <f>'План и исполнение'!IR27</f>
        <v>218401.11</v>
      </c>
      <c r="FO25" s="1424">
        <f>'План и исполнение'!JD27</f>
        <v>426146.82</v>
      </c>
      <c r="FP25" s="1426">
        <f>'План и исполнение'!JJ27</f>
        <v>0</v>
      </c>
      <c r="FQ25" s="103">
        <f>'Федеральные  средства  по  МО'!AR26</f>
        <v>0</v>
      </c>
      <c r="FR25" s="1424">
        <f t="shared" si="38"/>
        <v>0</v>
      </c>
      <c r="FS25" s="1426"/>
      <c r="FT25" s="1424"/>
      <c r="FU25" s="100">
        <f>'Федеральные  средства  по  МО'!AS26</f>
        <v>0</v>
      </c>
      <c r="FV25" s="1424">
        <f t="shared" si="39"/>
        <v>0</v>
      </c>
      <c r="FW25" s="1424"/>
      <c r="FX25" s="1426"/>
      <c r="FY25" s="103">
        <f>'Федеральные  средства  по  МО'!AT26</f>
        <v>0</v>
      </c>
      <c r="FZ25" s="1424">
        <f>'План и исполнение'!JU27</f>
        <v>0</v>
      </c>
      <c r="GA25" s="1426">
        <f>'План и исполнение'!KO27</f>
        <v>0</v>
      </c>
      <c r="GB25" s="1424">
        <f>'План и исполнение'!KY27</f>
        <v>0</v>
      </c>
      <c r="GC25" s="100">
        <f>'Федеральные  средства  по  МО'!AU26</f>
        <v>0</v>
      </c>
      <c r="GD25" s="1426">
        <f>'План и исполнение'!JZ27</f>
        <v>0</v>
      </c>
      <c r="GE25" s="1424">
        <f>'План и исполнение'!KT27</f>
        <v>0</v>
      </c>
      <c r="GF25" s="1426">
        <f>'План и исполнение'!LD27</f>
        <v>0</v>
      </c>
      <c r="GG25" s="103">
        <f>'Федеральные  средства  по  МО'!AV26</f>
        <v>0</v>
      </c>
      <c r="GH25" s="1424"/>
      <c r="GI25" s="1426">
        <f>'План и исполнение'!KM27</f>
        <v>0</v>
      </c>
      <c r="GJ25" s="1424">
        <f>'План и исполнение'!KW27</f>
        <v>0</v>
      </c>
      <c r="GK25" s="100">
        <f>'Федеральные  средства  по  МО'!AW26</f>
        <v>0</v>
      </c>
      <c r="GL25" s="1426"/>
      <c r="GM25" s="1424">
        <f>'План и исполнение'!KR27</f>
        <v>0</v>
      </c>
      <c r="GN25" s="1426">
        <f>'План и исполнение'!LB27</f>
        <v>0</v>
      </c>
      <c r="GO25" s="103">
        <f>'Федеральные  средства  по  МО'!AX26</f>
        <v>261338000</v>
      </c>
      <c r="GP25" s="1424">
        <f t="shared" si="40"/>
        <v>261338000</v>
      </c>
      <c r="GQ25" s="1426"/>
      <c r="GR25" s="1424"/>
      <c r="GS25" s="104">
        <f>'Федеральные  средства  по  МО'!AY26</f>
        <v>261338000</v>
      </c>
      <c r="GT25" s="1424">
        <f t="shared" si="16"/>
        <v>261338000</v>
      </c>
      <c r="GU25" s="1426"/>
      <c r="GV25" s="1424"/>
      <c r="GW25" s="104">
        <f>'Федеральные  средства  по  МО'!AZ26</f>
        <v>0</v>
      </c>
      <c r="GX25" s="1424"/>
      <c r="GY25" s="1426"/>
      <c r="GZ25" s="1424"/>
      <c r="HA25" s="100">
        <f>'Федеральные  средства  по  МО'!BA26</f>
        <v>0</v>
      </c>
      <c r="HB25" s="1426"/>
      <c r="HC25" s="1424"/>
      <c r="HD25" s="1426"/>
      <c r="HE25" s="103">
        <f>'Федеральные  средства  по  МО'!BB26</f>
        <v>0</v>
      </c>
      <c r="HF25" s="1424"/>
      <c r="HG25" s="1426"/>
      <c r="HH25" s="1424"/>
      <c r="HI25" s="104">
        <f>'Федеральные  средства  по  МО'!BC26</f>
        <v>0</v>
      </c>
      <c r="HJ25" s="1424"/>
      <c r="HK25" s="1426"/>
      <c r="HL25" s="1424"/>
      <c r="HM25" s="104">
        <f>'Федеральные  средства  по  МО'!BD26</f>
        <v>0</v>
      </c>
      <c r="HN25" s="1424"/>
      <c r="HO25" s="1426"/>
      <c r="HP25" s="1424"/>
      <c r="HQ25" s="100">
        <f>'Федеральные  средства  по  МО'!BE26</f>
        <v>0</v>
      </c>
      <c r="HR25" s="1426"/>
      <c r="HS25" s="1424"/>
      <c r="HT25" s="1426"/>
      <c r="HU25" s="103">
        <f>'Федеральные  средства  по  МО'!BF26</f>
        <v>16530000</v>
      </c>
      <c r="HV25" s="1424"/>
      <c r="HW25" s="1426"/>
      <c r="HX25" s="1424">
        <f>'План и исполнение'!NM27</f>
        <v>16530000</v>
      </c>
      <c r="HY25" s="100">
        <f>'Федеральные  средства  по  МО'!BG26</f>
        <v>512831.14</v>
      </c>
      <c r="HZ25" s="1426"/>
      <c r="IA25" s="1424"/>
      <c r="IB25" s="1426">
        <f>'План и исполнение'!NQ27</f>
        <v>512831.14</v>
      </c>
      <c r="IC25" s="103">
        <f>'Федеральные  средства  по  МО'!BJ26</f>
        <v>12514142.59</v>
      </c>
      <c r="ID25" s="1424"/>
      <c r="IE25" s="1426">
        <f>'План и исполнение'!OQ27</f>
        <v>12514142.59</v>
      </c>
      <c r="IF25" s="1424">
        <f>'План и исполнение'!PE27</f>
        <v>0</v>
      </c>
      <c r="IG25" s="100">
        <f>'Федеральные  средства  по  МО'!BK26</f>
        <v>0</v>
      </c>
      <c r="IH25" s="1426"/>
      <c r="II25" s="1424">
        <f>'План и исполнение'!OX27</f>
        <v>0</v>
      </c>
      <c r="IJ25" s="1426">
        <f>'План и исполнение'!PL27</f>
        <v>0</v>
      </c>
      <c r="IK25" s="103">
        <f>'Федеральные  средства  по  МО'!BN26</f>
        <v>0</v>
      </c>
      <c r="IL25" s="1424"/>
      <c r="IM25" s="1426"/>
      <c r="IN25" s="1424"/>
      <c r="IO25" s="100">
        <f>'Федеральные  средства  по  МО'!BO26</f>
        <v>0</v>
      </c>
      <c r="IP25" s="1426"/>
      <c r="IQ25" s="1424"/>
      <c r="IR25" s="1426"/>
      <c r="IS25" s="103">
        <f>'Федеральные  средства  по  МО'!BH26</f>
        <v>0</v>
      </c>
      <c r="IT25" s="1424"/>
      <c r="IU25" s="1426">
        <f>'План и исполнение'!OO27</f>
        <v>0</v>
      </c>
      <c r="IV25" s="1424">
        <f>'План и исполнение'!PC27</f>
        <v>0</v>
      </c>
      <c r="IW25" s="100">
        <f>'Федеральные  средства  по  МО'!BI26</f>
        <v>0</v>
      </c>
      <c r="IX25" s="1426"/>
      <c r="IY25" s="1424">
        <f>'План и исполнение'!OV27</f>
        <v>0</v>
      </c>
      <c r="IZ25" s="1426">
        <f>'План и исполнение'!PJ27</f>
        <v>0</v>
      </c>
      <c r="JA25" s="103">
        <f>'Федеральные  средства  по  МО'!BP26</f>
        <v>0</v>
      </c>
      <c r="JB25" s="1424">
        <f>'План и исполнение'!PW27</f>
        <v>0</v>
      </c>
      <c r="JC25" s="1426">
        <f>'План и исполнение'!QI27</f>
        <v>0</v>
      </c>
      <c r="JD25" s="1424">
        <f>'План и исполнение'!QO27</f>
        <v>0</v>
      </c>
      <c r="JE25" s="100">
        <f>'Федеральные  средства  по  МО'!BQ26</f>
        <v>0</v>
      </c>
      <c r="JF25" s="1426">
        <f>'План и исполнение'!PZ27</f>
        <v>0</v>
      </c>
      <c r="JG25" s="1424">
        <f>'План и исполнение'!QL27</f>
        <v>0</v>
      </c>
      <c r="JH25" s="1426">
        <f>'План и исполнение'!QR27</f>
        <v>0</v>
      </c>
      <c r="JI25" s="103">
        <f>'Федеральные  средства  по  МО'!BL26</f>
        <v>0</v>
      </c>
      <c r="JJ25" s="1424">
        <f>'План и исполнение'!NU27</f>
        <v>0</v>
      </c>
      <c r="JK25" s="1426">
        <f>'План и исполнение'!OS27</f>
        <v>0</v>
      </c>
      <c r="JL25" s="1424">
        <f>'План и исполнение'!PG27</f>
        <v>0</v>
      </c>
      <c r="JM25" s="100">
        <f>'Федеральные  средства  по  МО'!BM26</f>
        <v>0</v>
      </c>
      <c r="JN25" s="1426">
        <f>'План и исполнение'!NX27</f>
        <v>0</v>
      </c>
      <c r="JO25" s="1424">
        <f>'План и исполнение'!OZ27</f>
        <v>0</v>
      </c>
      <c r="JP25" s="1425">
        <f>'План и исполнение'!PN27</f>
        <v>0</v>
      </c>
    </row>
    <row r="26" spans="1:276" ht="25.5" customHeight="1" x14ac:dyDescent="0.3">
      <c r="A26" s="102" t="s">
        <v>95</v>
      </c>
      <c r="B26" s="277">
        <f t="shared" si="17"/>
        <v>85151498.999999985</v>
      </c>
      <c r="C26" s="1422">
        <f t="shared" si="0"/>
        <v>78336676.309999987</v>
      </c>
      <c r="D26" s="1422">
        <f t="shared" si="1"/>
        <v>6814822.6899999995</v>
      </c>
      <c r="E26" s="1422">
        <f t="shared" si="18"/>
        <v>0</v>
      </c>
      <c r="F26" s="277">
        <f t="shared" si="19"/>
        <v>3671398.81</v>
      </c>
      <c r="G26" s="1422">
        <f t="shared" si="20"/>
        <v>3671398.81</v>
      </c>
      <c r="H26" s="1422">
        <f t="shared" si="21"/>
        <v>0</v>
      </c>
      <c r="I26" s="1422">
        <f t="shared" si="22"/>
        <v>0</v>
      </c>
      <c r="J26" s="105"/>
      <c r="K26" s="1421">
        <f>M26-'Федеральные  средства  по  МО'!D27</f>
        <v>0</v>
      </c>
      <c r="L26" s="1421">
        <f>Q26-'Федеральные  средства  по  МО'!E27</f>
        <v>0</v>
      </c>
      <c r="M26" s="277">
        <f t="shared" si="23"/>
        <v>85151499</v>
      </c>
      <c r="N26" s="1422">
        <f t="shared" si="24"/>
        <v>78336676.309999987</v>
      </c>
      <c r="O26" s="1422">
        <f t="shared" si="25"/>
        <v>6814822.6899999995</v>
      </c>
      <c r="P26" s="1422">
        <f t="shared" si="26"/>
        <v>0</v>
      </c>
      <c r="Q26" s="277">
        <f t="shared" si="27"/>
        <v>3671398.81</v>
      </c>
      <c r="R26" s="1422">
        <f t="shared" si="28"/>
        <v>3671398.81</v>
      </c>
      <c r="S26" s="1422">
        <f t="shared" si="29"/>
        <v>0</v>
      </c>
      <c r="T26" s="1422">
        <f t="shared" si="30"/>
        <v>0</v>
      </c>
      <c r="U26" s="103">
        <f>'Федеральные  средства  по  МО'!F27</f>
        <v>0</v>
      </c>
      <c r="V26" s="1424">
        <f t="shared" si="31"/>
        <v>0</v>
      </c>
      <c r="W26" s="1426"/>
      <c r="X26" s="1424"/>
      <c r="Y26" s="101">
        <f>'Федеральные  средства  по  МО'!G27</f>
        <v>0</v>
      </c>
      <c r="Z26" s="1426">
        <f t="shared" si="32"/>
        <v>0</v>
      </c>
      <c r="AA26" s="1424"/>
      <c r="AB26" s="1425"/>
      <c r="AC26" s="104">
        <f>'Федеральные  средства  по  МО'!H27</f>
        <v>0</v>
      </c>
      <c r="AD26" s="1424">
        <f>'План и исполнение'!CQ28</f>
        <v>0</v>
      </c>
      <c r="AE26" s="1426">
        <f>'План и исполнение'!CU28</f>
        <v>0</v>
      </c>
      <c r="AF26" s="1424">
        <f>'План и исполнение'!CW28</f>
        <v>0</v>
      </c>
      <c r="AG26" s="100">
        <f>'Федеральные  средства  по  МО'!I27</f>
        <v>0</v>
      </c>
      <c r="AH26" s="1426">
        <f>'План и исполнение'!CR28</f>
        <v>0</v>
      </c>
      <c r="AI26" s="1424">
        <f>'План и исполнение'!CV28</f>
        <v>0</v>
      </c>
      <c r="AJ26" s="1426">
        <f>'План и исполнение'!CX28</f>
        <v>0</v>
      </c>
      <c r="AK26" s="101">
        <f>'Федеральные  средства  по  МО'!J27</f>
        <v>0</v>
      </c>
      <c r="AL26" s="1425"/>
      <c r="AM26" s="1426"/>
      <c r="AN26" s="1423"/>
      <c r="AO26" s="101">
        <f>'Федеральные  средства  по  МО'!K27</f>
        <v>0</v>
      </c>
      <c r="AP26" s="1426"/>
      <c r="AQ26" s="1424"/>
      <c r="AR26" s="1426"/>
      <c r="AS26" s="103">
        <f>'Федеральные  средства  по  МО'!L27</f>
        <v>0</v>
      </c>
      <c r="AT26" s="1424">
        <f t="shared" si="3"/>
        <v>0</v>
      </c>
      <c r="AU26" s="1424"/>
      <c r="AV26" s="1426"/>
      <c r="AW26" s="101">
        <f>'Федеральные  средства  по  МО'!M27</f>
        <v>0</v>
      </c>
      <c r="AX26" s="1424">
        <f t="shared" si="4"/>
        <v>0</v>
      </c>
      <c r="AY26" s="1426"/>
      <c r="AZ26" s="1424"/>
      <c r="BA26" s="104">
        <f>'Федеральные  средства  по  МО'!N27</f>
        <v>0</v>
      </c>
      <c r="BB26" s="1424">
        <f t="shared" si="5"/>
        <v>0</v>
      </c>
      <c r="BC26" s="1426"/>
      <c r="BD26" s="1424"/>
      <c r="BE26" s="104">
        <f>'Федеральные  средства  по  МО'!O27</f>
        <v>0</v>
      </c>
      <c r="BF26" s="1424">
        <f t="shared" si="6"/>
        <v>0</v>
      </c>
      <c r="BG26" s="1424"/>
      <c r="BH26" s="1426"/>
      <c r="BI26" s="1528">
        <f>'Федеральные  средства  по  МО'!P27</f>
        <v>0</v>
      </c>
      <c r="BJ26" s="1424">
        <f t="shared" si="7"/>
        <v>0</v>
      </c>
      <c r="BK26" s="1424"/>
      <c r="BL26" s="1425"/>
      <c r="BM26" s="100">
        <f>'Федеральные  средства  по  МО'!Q27</f>
        <v>0</v>
      </c>
      <c r="BN26" s="1424">
        <f t="shared" si="8"/>
        <v>0</v>
      </c>
      <c r="BO26" s="1424"/>
      <c r="BP26" s="1426"/>
      <c r="BQ26" s="101">
        <f>'Федеральные  средства  по  МО'!R27</f>
        <v>0</v>
      </c>
      <c r="BR26" s="1424">
        <f t="shared" si="9"/>
        <v>0</v>
      </c>
      <c r="BS26" s="1424"/>
      <c r="BT26" s="1425"/>
      <c r="BU26" s="104">
        <f>'Федеральные  средства  по  МО'!S27</f>
        <v>0</v>
      </c>
      <c r="BV26" s="1424">
        <f t="shared" si="10"/>
        <v>0</v>
      </c>
      <c r="BW26" s="1424"/>
      <c r="BX26" s="1425"/>
      <c r="BY26" s="103">
        <f>'Федеральные  средства  по  МО'!T27</f>
        <v>0</v>
      </c>
      <c r="BZ26" s="1424">
        <f t="shared" si="11"/>
        <v>0</v>
      </c>
      <c r="CA26" s="1426"/>
      <c r="CB26" s="1424"/>
      <c r="CC26" s="100">
        <f>'Федеральные  средства  по  МО'!U27</f>
        <v>0</v>
      </c>
      <c r="CD26" s="1424">
        <f t="shared" si="12"/>
        <v>0</v>
      </c>
      <c r="CE26" s="1424"/>
      <c r="CF26" s="1426"/>
      <c r="CG26" s="103">
        <f>'Федеральные  средства  по  МО'!V27</f>
        <v>0</v>
      </c>
      <c r="CH26" s="1424"/>
      <c r="CI26" s="1426"/>
      <c r="CJ26" s="1424"/>
      <c r="CK26" s="100">
        <f>'Федеральные  средства  по  МО'!W27</f>
        <v>0</v>
      </c>
      <c r="CL26" s="1426"/>
      <c r="CM26" s="1424"/>
      <c r="CN26" s="1426"/>
      <c r="CO26" s="103">
        <f>'Федеральные  средства  по  МО'!X27</f>
        <v>0</v>
      </c>
      <c r="CP26" s="1424">
        <f t="shared" si="13"/>
        <v>0</v>
      </c>
      <c r="CQ26" s="1426"/>
      <c r="CR26" s="1424"/>
      <c r="CS26" s="100">
        <f>'Федеральные  средства  по  МО'!Y27</f>
        <v>0</v>
      </c>
      <c r="CT26" s="1424">
        <f t="shared" si="33"/>
        <v>0</v>
      </c>
      <c r="CU26" s="1424"/>
      <c r="CV26" s="1426"/>
      <c r="CW26" s="103">
        <f>'Федеральные  средства  по  МО'!Z27</f>
        <v>0</v>
      </c>
      <c r="CX26" s="1424"/>
      <c r="CY26" s="1424"/>
      <c r="CZ26" s="1426"/>
      <c r="DA26" s="101">
        <f>'Федеральные  средства  по  МО'!AA27</f>
        <v>0</v>
      </c>
      <c r="DB26" s="1426"/>
      <c r="DC26" s="1424"/>
      <c r="DD26" s="1426"/>
      <c r="DE26" s="103">
        <f>'Федеральные  средства  по  МО'!AB27</f>
        <v>0</v>
      </c>
      <c r="DF26" s="1424"/>
      <c r="DG26" s="1426"/>
      <c r="DH26" s="1424"/>
      <c r="DI26" s="100">
        <f>'Федеральные  средства  по  МО'!AC27</f>
        <v>0</v>
      </c>
      <c r="DJ26" s="1426"/>
      <c r="DK26" s="1424"/>
      <c r="DL26" s="1426"/>
      <c r="DM26" s="103">
        <f>'Федеральные  средства  по  МО'!AD27</f>
        <v>0</v>
      </c>
      <c r="DN26" s="1424">
        <f t="shared" si="14"/>
        <v>0</v>
      </c>
      <c r="DO26" s="1426"/>
      <c r="DP26" s="1424"/>
      <c r="DQ26" s="100">
        <f>'Федеральные  средства  по  МО'!AE27</f>
        <v>0</v>
      </c>
      <c r="DR26" s="1424">
        <f t="shared" si="15"/>
        <v>0</v>
      </c>
      <c r="DS26" s="1424"/>
      <c r="DT26" s="1426"/>
      <c r="DU26" s="103">
        <f>'Федеральные  средства  по  МО'!AF27</f>
        <v>514815.14</v>
      </c>
      <c r="DV26" s="1424">
        <f>'План и исполнение'!GK28</f>
        <v>0</v>
      </c>
      <c r="DW26" s="1424">
        <f>'План и исполнение'!HE28</f>
        <v>514815.14</v>
      </c>
      <c r="DX26" s="1426">
        <f>'План и исполнение'!HO28</f>
        <v>0</v>
      </c>
      <c r="DY26" s="101">
        <f>'Федеральные  средства  по  МО'!AG27</f>
        <v>0</v>
      </c>
      <c r="DZ26" s="1426">
        <f>'План и исполнение'!GP28</f>
        <v>0</v>
      </c>
      <c r="EA26" s="1424">
        <f>'План и исполнение'!HJ28</f>
        <v>0</v>
      </c>
      <c r="EB26" s="1426">
        <f>'План и исполнение'!HT28</f>
        <v>0</v>
      </c>
      <c r="EC26" s="103">
        <f>'Федеральные  средства  по  МО'!AH27</f>
        <v>0</v>
      </c>
      <c r="ED26" s="1424"/>
      <c r="EE26" s="1426"/>
      <c r="EF26" s="1424"/>
      <c r="EG26" s="100">
        <f>'Федеральные  средства  по  МО'!AI27</f>
        <v>0</v>
      </c>
      <c r="EH26" s="1426"/>
      <c r="EI26" s="1424"/>
      <c r="EJ26" s="1426"/>
      <c r="EK26" s="103">
        <f>'Федеральные  средства  по  МО'!AJ27</f>
        <v>0</v>
      </c>
      <c r="EL26" s="1424">
        <f t="shared" si="34"/>
        <v>0</v>
      </c>
      <c r="EM26" s="1426"/>
      <c r="EN26" s="1424"/>
      <c r="EO26" s="100">
        <f>'Федеральные  средства  по  МО'!AK27</f>
        <v>0</v>
      </c>
      <c r="EP26" s="1424">
        <f t="shared" si="35"/>
        <v>0</v>
      </c>
      <c r="EQ26" s="1424"/>
      <c r="ER26" s="1426"/>
      <c r="ES26" s="103">
        <f>'Федеральные  средства  по  МО'!AL27</f>
        <v>7199992.71</v>
      </c>
      <c r="ET26" s="1424">
        <f t="shared" si="36"/>
        <v>7199992.71</v>
      </c>
      <c r="EU26" s="1426"/>
      <c r="EV26" s="1424"/>
      <c r="EW26" s="100">
        <f>'Федеральные  средства  по  МО'!AM27</f>
        <v>0</v>
      </c>
      <c r="EX26" s="1425">
        <f t="shared" si="37"/>
        <v>0</v>
      </c>
      <c r="EY26" s="1424"/>
      <c r="EZ26" s="1426"/>
      <c r="FA26" s="103">
        <f>'Федеральные  средства  по  МО'!AN27</f>
        <v>0</v>
      </c>
      <c r="FB26" s="1424"/>
      <c r="FC26" s="1426"/>
      <c r="FD26" s="1424"/>
      <c r="FE26" s="100">
        <f>'Федеральные  средства  по  МО'!AO27</f>
        <v>0</v>
      </c>
      <c r="FF26" s="1426"/>
      <c r="FG26" s="1424"/>
      <c r="FH26" s="1426"/>
      <c r="FI26" s="103">
        <f>'Федеральные  средства  по  МО'!AP27</f>
        <v>725683.6</v>
      </c>
      <c r="FJ26" s="1424">
        <f>'План и исполнение'!IO28</f>
        <v>725683.6</v>
      </c>
      <c r="FK26" s="1426">
        <f>'План и исполнение'!JA28</f>
        <v>0</v>
      </c>
      <c r="FL26" s="1424">
        <f>'План и исполнение'!JG28</f>
        <v>0</v>
      </c>
      <c r="FM26" s="100">
        <f>'Федеральные  средства  по  МО'!AQ27</f>
        <v>166926.69</v>
      </c>
      <c r="FN26" s="1426">
        <f>'План и исполнение'!IR28</f>
        <v>166926.69</v>
      </c>
      <c r="FO26" s="1424">
        <f>'План и исполнение'!JD28</f>
        <v>0</v>
      </c>
      <c r="FP26" s="1426">
        <f>'План и исполнение'!JJ28</f>
        <v>0</v>
      </c>
      <c r="FQ26" s="103">
        <f>'Федеральные  средства  по  МО'!AR27</f>
        <v>0</v>
      </c>
      <c r="FR26" s="1424">
        <f t="shared" si="38"/>
        <v>0</v>
      </c>
      <c r="FS26" s="1426"/>
      <c r="FT26" s="1424"/>
      <c r="FU26" s="100">
        <f>'Федеральные  средства  по  МО'!AS27</f>
        <v>0</v>
      </c>
      <c r="FV26" s="1424">
        <f t="shared" si="39"/>
        <v>0</v>
      </c>
      <c r="FW26" s="1424"/>
      <c r="FX26" s="1426"/>
      <c r="FY26" s="103">
        <f>'Федеральные  средства  по  МО'!AT27</f>
        <v>0</v>
      </c>
      <c r="FZ26" s="1424">
        <f>'План и исполнение'!JU28</f>
        <v>0</v>
      </c>
      <c r="GA26" s="1426">
        <f>'План и исполнение'!KO28</f>
        <v>0</v>
      </c>
      <c r="GB26" s="1424">
        <f>'План и исполнение'!KY28</f>
        <v>0</v>
      </c>
      <c r="GC26" s="100">
        <f>'Федеральные  средства  по  МО'!AU27</f>
        <v>0</v>
      </c>
      <c r="GD26" s="1426">
        <f>'План и исполнение'!JZ28</f>
        <v>0</v>
      </c>
      <c r="GE26" s="1424">
        <f>'План и исполнение'!KT28</f>
        <v>0</v>
      </c>
      <c r="GF26" s="1426">
        <f>'План и исполнение'!LD28</f>
        <v>0</v>
      </c>
      <c r="GG26" s="103">
        <f>'Федеральные  средства  по  МО'!AV27</f>
        <v>0</v>
      </c>
      <c r="GH26" s="1424"/>
      <c r="GI26" s="1426">
        <f>'План и исполнение'!KM28</f>
        <v>0</v>
      </c>
      <c r="GJ26" s="1424">
        <f>'План и исполнение'!KW28</f>
        <v>0</v>
      </c>
      <c r="GK26" s="100">
        <f>'Федеральные  средства  по  МО'!AW27</f>
        <v>0</v>
      </c>
      <c r="GL26" s="1426"/>
      <c r="GM26" s="1424">
        <f>'План и исполнение'!KR28</f>
        <v>0</v>
      </c>
      <c r="GN26" s="1426">
        <f>'План и исполнение'!LB28</f>
        <v>0</v>
      </c>
      <c r="GO26" s="103">
        <f>'Федеральные  средства  по  МО'!AX27</f>
        <v>0</v>
      </c>
      <c r="GP26" s="1424">
        <f t="shared" si="40"/>
        <v>0</v>
      </c>
      <c r="GQ26" s="1426"/>
      <c r="GR26" s="1424"/>
      <c r="GS26" s="104">
        <f>'Федеральные  средства  по  МО'!AY27</f>
        <v>0</v>
      </c>
      <c r="GT26" s="1424">
        <f t="shared" si="16"/>
        <v>0</v>
      </c>
      <c r="GU26" s="1426"/>
      <c r="GV26" s="1424"/>
      <c r="GW26" s="104">
        <f>'Федеральные  средства  по  МО'!AZ27</f>
        <v>0</v>
      </c>
      <c r="GX26" s="1424"/>
      <c r="GY26" s="1426"/>
      <c r="GZ26" s="1424"/>
      <c r="HA26" s="100">
        <f>'Федеральные  средства  по  МО'!BA27</f>
        <v>0</v>
      </c>
      <c r="HB26" s="1426"/>
      <c r="HC26" s="1424"/>
      <c r="HD26" s="1426"/>
      <c r="HE26" s="103">
        <f>'Федеральные  средства  по  МО'!BB27</f>
        <v>0</v>
      </c>
      <c r="HF26" s="1424"/>
      <c r="HG26" s="1426"/>
      <c r="HH26" s="1424"/>
      <c r="HI26" s="104">
        <f>'Федеральные  средства  по  МО'!BC27</f>
        <v>0</v>
      </c>
      <c r="HJ26" s="1424"/>
      <c r="HK26" s="1426"/>
      <c r="HL26" s="1424"/>
      <c r="HM26" s="104">
        <f>'Федеральные  средства  по  МО'!BD27</f>
        <v>0</v>
      </c>
      <c r="HN26" s="1424"/>
      <c r="HO26" s="1426"/>
      <c r="HP26" s="1424"/>
      <c r="HQ26" s="100">
        <f>'Федеральные  средства  по  МО'!BE27</f>
        <v>0</v>
      </c>
      <c r="HR26" s="1426"/>
      <c r="HS26" s="1424"/>
      <c r="HT26" s="1426"/>
      <c r="HU26" s="103">
        <f>'Федеральные  средства  по  МО'!BF27</f>
        <v>0</v>
      </c>
      <c r="HV26" s="1424"/>
      <c r="HW26" s="1426"/>
      <c r="HX26" s="1424">
        <f>'План и исполнение'!NM28</f>
        <v>0</v>
      </c>
      <c r="HY26" s="100">
        <f>'Федеральные  средства  по  МО'!BG27</f>
        <v>0</v>
      </c>
      <c r="HZ26" s="1426"/>
      <c r="IA26" s="1424"/>
      <c r="IB26" s="1426">
        <f>'План и исполнение'!NQ28</f>
        <v>0</v>
      </c>
      <c r="IC26" s="103">
        <f>'Федеральные  средства  по  МО'!BJ27</f>
        <v>6300007.5499999998</v>
      </c>
      <c r="ID26" s="1424"/>
      <c r="IE26" s="1426">
        <f>'План и исполнение'!OQ28</f>
        <v>6300007.5499999998</v>
      </c>
      <c r="IF26" s="1424">
        <f>'План и исполнение'!PE28</f>
        <v>0</v>
      </c>
      <c r="IG26" s="100">
        <f>'Федеральные  средства  по  МО'!BK27</f>
        <v>0</v>
      </c>
      <c r="IH26" s="1426"/>
      <c r="II26" s="1424">
        <f>'План и исполнение'!OX28</f>
        <v>0</v>
      </c>
      <c r="IJ26" s="1426">
        <f>'План и исполнение'!PL28</f>
        <v>0</v>
      </c>
      <c r="IK26" s="103">
        <f>'Федеральные  средства  по  МО'!BN27</f>
        <v>0</v>
      </c>
      <c r="IL26" s="1424"/>
      <c r="IM26" s="1426"/>
      <c r="IN26" s="1424"/>
      <c r="IO26" s="100">
        <f>'Федеральные  средства  по  МО'!BO27</f>
        <v>0</v>
      </c>
      <c r="IP26" s="1426"/>
      <c r="IQ26" s="1424"/>
      <c r="IR26" s="1426"/>
      <c r="IS26" s="103">
        <f>'Федеральные  средства  по  МО'!BH27</f>
        <v>0</v>
      </c>
      <c r="IT26" s="1424"/>
      <c r="IU26" s="1426">
        <f>'План и исполнение'!OO28</f>
        <v>0</v>
      </c>
      <c r="IV26" s="1424">
        <f>'План и исполнение'!PC28</f>
        <v>0</v>
      </c>
      <c r="IW26" s="100">
        <f>'Федеральные  средства  по  МО'!BI27</f>
        <v>0</v>
      </c>
      <c r="IX26" s="1426"/>
      <c r="IY26" s="1424">
        <f>'План и исполнение'!OV28</f>
        <v>0</v>
      </c>
      <c r="IZ26" s="1426">
        <f>'План и исполнение'!PJ28</f>
        <v>0</v>
      </c>
      <c r="JA26" s="103">
        <f>'Федеральные  средства  по  МО'!BP27</f>
        <v>0</v>
      </c>
      <c r="JB26" s="1424">
        <f>'План и исполнение'!PW28</f>
        <v>0</v>
      </c>
      <c r="JC26" s="1426">
        <f>'План и исполнение'!QI28</f>
        <v>0</v>
      </c>
      <c r="JD26" s="1424">
        <f>'План и исполнение'!QO28</f>
        <v>0</v>
      </c>
      <c r="JE26" s="100">
        <f>'Федеральные  средства  по  МО'!BQ27</f>
        <v>0</v>
      </c>
      <c r="JF26" s="1426">
        <f>'План и исполнение'!PZ28</f>
        <v>0</v>
      </c>
      <c r="JG26" s="1424">
        <f>'План и исполнение'!QL28</f>
        <v>0</v>
      </c>
      <c r="JH26" s="1426">
        <f>'План и исполнение'!QR28</f>
        <v>0</v>
      </c>
      <c r="JI26" s="103">
        <f>'Федеральные  средства  по  МО'!BL27</f>
        <v>70411000</v>
      </c>
      <c r="JJ26" s="1424">
        <f>'План и исполнение'!NU28</f>
        <v>70411000</v>
      </c>
      <c r="JK26" s="1426">
        <f>'План и исполнение'!OS28</f>
        <v>0</v>
      </c>
      <c r="JL26" s="1424">
        <f>'План и исполнение'!PG28</f>
        <v>0</v>
      </c>
      <c r="JM26" s="100">
        <f>'Федеральные  средства  по  МО'!BM27</f>
        <v>3504472.12</v>
      </c>
      <c r="JN26" s="1426">
        <f>'План и исполнение'!NX28</f>
        <v>3504472.12</v>
      </c>
      <c r="JO26" s="1424">
        <f>'План и исполнение'!OZ28</f>
        <v>0</v>
      </c>
      <c r="JP26" s="1425">
        <f>'План и исполнение'!PN28</f>
        <v>0</v>
      </c>
    </row>
    <row r="27" spans="1:276" ht="25.5" customHeight="1" thickBot="1" x14ac:dyDescent="0.35">
      <c r="A27" s="106" t="s">
        <v>96</v>
      </c>
      <c r="B27" s="277">
        <f t="shared" si="17"/>
        <v>48071605.780000001</v>
      </c>
      <c r="C27" s="1422">
        <f t="shared" si="0"/>
        <v>4766729.9000000004</v>
      </c>
      <c r="D27" s="1422">
        <f t="shared" si="1"/>
        <v>25983405.599999998</v>
      </c>
      <c r="E27" s="1422">
        <f t="shared" si="18"/>
        <v>17321470.280000001</v>
      </c>
      <c r="F27" s="277">
        <f t="shared" si="19"/>
        <v>4548120.71</v>
      </c>
      <c r="G27" s="1422">
        <f t="shared" si="20"/>
        <v>1848835.81</v>
      </c>
      <c r="H27" s="1422">
        <f t="shared" si="21"/>
        <v>1013395.8799999999</v>
      </c>
      <c r="I27" s="1422">
        <f t="shared" si="22"/>
        <v>1685889.02</v>
      </c>
      <c r="J27" s="105"/>
      <c r="K27" s="1421">
        <f>M27-'Федеральные  средства  по  МО'!D28</f>
        <v>0</v>
      </c>
      <c r="L27" s="1421">
        <f>Q27-'Федеральные  средства  по  МО'!E28</f>
        <v>0</v>
      </c>
      <c r="M27" s="277">
        <f t="shared" si="23"/>
        <v>48071605.780000001</v>
      </c>
      <c r="N27" s="1422">
        <f t="shared" si="24"/>
        <v>4766729.9000000004</v>
      </c>
      <c r="O27" s="1422">
        <f t="shared" si="25"/>
        <v>25983405.599999998</v>
      </c>
      <c r="P27" s="1422">
        <f t="shared" si="26"/>
        <v>17321470.280000001</v>
      </c>
      <c r="Q27" s="277">
        <f t="shared" si="27"/>
        <v>4548120.71</v>
      </c>
      <c r="R27" s="1422">
        <f t="shared" si="28"/>
        <v>1848835.81</v>
      </c>
      <c r="S27" s="1422">
        <f t="shared" si="29"/>
        <v>1013395.8799999999</v>
      </c>
      <c r="T27" s="1422">
        <f t="shared" si="30"/>
        <v>1685889.02</v>
      </c>
      <c r="U27" s="108">
        <f>'Федеральные  средства  по  МО'!F28</f>
        <v>0</v>
      </c>
      <c r="V27" s="1427">
        <f t="shared" si="31"/>
        <v>0</v>
      </c>
      <c r="W27" s="1428"/>
      <c r="X27" s="1427"/>
      <c r="Y27" s="107">
        <f>'Федеральные  средства  по  МО'!G28</f>
        <v>0</v>
      </c>
      <c r="Z27" s="1428">
        <f t="shared" si="32"/>
        <v>0</v>
      </c>
      <c r="AA27" s="1427"/>
      <c r="AB27" s="1615"/>
      <c r="AC27" s="1546">
        <f>'Федеральные  средства  по  МО'!H28</f>
        <v>0</v>
      </c>
      <c r="AD27" s="1537">
        <f>'План и исполнение'!CQ29</f>
        <v>0</v>
      </c>
      <c r="AE27" s="1538">
        <f>'План и исполнение'!CU29</f>
        <v>0</v>
      </c>
      <c r="AF27" s="1537">
        <f>'План и исполнение'!CW29</f>
        <v>0</v>
      </c>
      <c r="AG27" s="1539">
        <f>'Федеральные  средства  по  МО'!I28</f>
        <v>0</v>
      </c>
      <c r="AH27" s="1538">
        <f>'План и исполнение'!CR29</f>
        <v>0</v>
      </c>
      <c r="AI27" s="1537">
        <f>'План и исполнение'!CV29</f>
        <v>0</v>
      </c>
      <c r="AJ27" s="1538">
        <f>'План и исполнение'!CX29</f>
        <v>0</v>
      </c>
      <c r="AK27" s="1575">
        <f>'Федеральные  средства  по  МО'!J28</f>
        <v>0</v>
      </c>
      <c r="AL27" s="1576"/>
      <c r="AM27" s="1538"/>
      <c r="AN27" s="1577"/>
      <c r="AO27" s="1575">
        <f>'Федеральные  средства  по  МО'!K28</f>
        <v>0</v>
      </c>
      <c r="AP27" s="1538"/>
      <c r="AQ27" s="1537"/>
      <c r="AR27" s="1538"/>
      <c r="AS27" s="163">
        <f>'Федеральные  средства  по  МО'!L28</f>
        <v>0</v>
      </c>
      <c r="AT27" s="1537">
        <f>AS27</f>
        <v>0</v>
      </c>
      <c r="AU27" s="1535"/>
      <c r="AV27" s="1580"/>
      <c r="AW27" s="1541">
        <f>'Федеральные  средства  по  МО'!M28</f>
        <v>0</v>
      </c>
      <c r="AX27" s="1537">
        <f>AW27</f>
        <v>0</v>
      </c>
      <c r="AY27" s="1580"/>
      <c r="AZ27" s="1535"/>
      <c r="BA27" s="1581">
        <f>'Федеральные  средства  по  МО'!N28</f>
        <v>0</v>
      </c>
      <c r="BB27" s="1537">
        <f>BA27</f>
        <v>0</v>
      </c>
      <c r="BC27" s="1580"/>
      <c r="BD27" s="1535"/>
      <c r="BE27" s="1546">
        <f>'Федеральные  средства  по  МО'!O28</f>
        <v>0</v>
      </c>
      <c r="BF27" s="1537">
        <f>BE27</f>
        <v>0</v>
      </c>
      <c r="BG27" s="1535"/>
      <c r="BH27" s="1580"/>
      <c r="BI27" s="1582">
        <f>'Федеральные  средства  по  МО'!P28</f>
        <v>0</v>
      </c>
      <c r="BJ27" s="1537">
        <f>BI27</f>
        <v>0</v>
      </c>
      <c r="BK27" s="1535"/>
      <c r="BL27" s="1579"/>
      <c r="BM27" s="1229">
        <f>'Федеральные  средства  по  МО'!Q28</f>
        <v>0</v>
      </c>
      <c r="BN27" s="1537">
        <f>BM27</f>
        <v>0</v>
      </c>
      <c r="BO27" s="1535"/>
      <c r="BP27" s="1580"/>
      <c r="BQ27" s="1541">
        <f>'Федеральные  средства  по  МО'!R28</f>
        <v>2859675</v>
      </c>
      <c r="BR27" s="1537">
        <f>BQ27</f>
        <v>2859675</v>
      </c>
      <c r="BS27" s="1535"/>
      <c r="BT27" s="1579"/>
      <c r="BU27" s="1521">
        <f>'Федеральные  средства  по  МО'!S28</f>
        <v>0</v>
      </c>
      <c r="BV27" s="1537">
        <f>BU27</f>
        <v>0</v>
      </c>
      <c r="BW27" s="1535"/>
      <c r="BX27" s="1579"/>
      <c r="BY27" s="1529">
        <f>'Федеральные  средства  по  МО'!T28</f>
        <v>0</v>
      </c>
      <c r="BZ27" s="1537">
        <f>BY27</f>
        <v>0</v>
      </c>
      <c r="CA27" s="1538"/>
      <c r="CB27" s="1537"/>
      <c r="CC27" s="1539">
        <f>'Федеральные  средства  по  МО'!U28</f>
        <v>0</v>
      </c>
      <c r="CD27" s="1537">
        <f t="shared" si="12"/>
        <v>0</v>
      </c>
      <c r="CE27" s="1537"/>
      <c r="CF27" s="1538"/>
      <c r="CG27" s="163">
        <f>'Федеральные  средства  по  МО'!V28</f>
        <v>0</v>
      </c>
      <c r="CH27" s="1535"/>
      <c r="CI27" s="1580"/>
      <c r="CJ27" s="1535"/>
      <c r="CK27" s="1583">
        <f>'Федеральные  средства  по  МО'!W28</f>
        <v>0</v>
      </c>
      <c r="CL27" s="1580"/>
      <c r="CM27" s="1535"/>
      <c r="CN27" s="1580"/>
      <c r="CO27" s="163">
        <f>'Федеральные  средства  по  МО'!X28</f>
        <v>0</v>
      </c>
      <c r="CP27" s="1537">
        <f t="shared" si="13"/>
        <v>0</v>
      </c>
      <c r="CQ27" s="1538"/>
      <c r="CR27" s="1537"/>
      <c r="CS27" s="1539">
        <f>'Федеральные  средства  по  МО'!Y28</f>
        <v>0</v>
      </c>
      <c r="CT27" s="1537">
        <f t="shared" si="33"/>
        <v>0</v>
      </c>
      <c r="CU27" s="1537"/>
      <c r="CV27" s="1538"/>
      <c r="CW27" s="163">
        <f>'Федеральные  средства  по  МО'!Z28</f>
        <v>0</v>
      </c>
      <c r="CX27" s="1535"/>
      <c r="CY27" s="1535"/>
      <c r="CZ27" s="1580"/>
      <c r="DA27" s="1541">
        <f>'Федеральные  средства  по  МО'!AA28</f>
        <v>0</v>
      </c>
      <c r="DB27" s="1580"/>
      <c r="DC27" s="1535"/>
      <c r="DD27" s="1580"/>
      <c r="DE27" s="163">
        <f>'Федеральные  средства  по  МО'!AB28</f>
        <v>0</v>
      </c>
      <c r="DF27" s="1535"/>
      <c r="DG27" s="1580"/>
      <c r="DH27" s="1535"/>
      <c r="DI27" s="1583">
        <f>'Федеральные  средства  по  МО'!AC28</f>
        <v>0</v>
      </c>
      <c r="DJ27" s="1580"/>
      <c r="DK27" s="1535"/>
      <c r="DL27" s="1580"/>
      <c r="DM27" s="163">
        <f>'Федеральные  средства  по  МО'!AD28</f>
        <v>0</v>
      </c>
      <c r="DN27" s="1537">
        <f t="shared" si="14"/>
        <v>0</v>
      </c>
      <c r="DO27" s="1538"/>
      <c r="DP27" s="1537"/>
      <c r="DQ27" s="1539">
        <f>'Федеральные  средства  по  МО'!AE28</f>
        <v>0</v>
      </c>
      <c r="DR27" s="1537">
        <f t="shared" si="15"/>
        <v>0</v>
      </c>
      <c r="DS27" s="1537"/>
      <c r="DT27" s="1538"/>
      <c r="DU27" s="1529">
        <f>'Федеральные  средства  по  МО'!AF28</f>
        <v>221837.35</v>
      </c>
      <c r="DV27" s="1537">
        <f>'План и исполнение'!GK29</f>
        <v>0</v>
      </c>
      <c r="DW27" s="1537">
        <f>'План и исполнение'!HE29</f>
        <v>76870.63</v>
      </c>
      <c r="DX27" s="1538">
        <f>'План и исполнение'!HO29</f>
        <v>144966.72</v>
      </c>
      <c r="DY27" s="1575">
        <f>'Федеральные  средства  по  МО'!AG28</f>
        <v>109978.33</v>
      </c>
      <c r="DZ27" s="1538">
        <f>'План и исполнение'!GP29</f>
        <v>0</v>
      </c>
      <c r="EA27" s="1537">
        <f>'План и исполнение'!HJ29</f>
        <v>0</v>
      </c>
      <c r="EB27" s="1538">
        <f>'План и исполнение'!HT29</f>
        <v>109978.33</v>
      </c>
      <c r="EC27" s="1529">
        <f>'Федеральные  средства  по  МО'!AH28</f>
        <v>0</v>
      </c>
      <c r="ED27" s="1537"/>
      <c r="EE27" s="1538"/>
      <c r="EF27" s="1537"/>
      <c r="EG27" s="1539">
        <f>'Федеральные  средства  по  МО'!AI28</f>
        <v>0</v>
      </c>
      <c r="EH27" s="1538"/>
      <c r="EI27" s="1537"/>
      <c r="EJ27" s="1538"/>
      <c r="EK27" s="1529">
        <f>'Федеральные  средства  по  МО'!AJ28</f>
        <v>0</v>
      </c>
      <c r="EL27" s="1537">
        <f t="shared" si="34"/>
        <v>0</v>
      </c>
      <c r="EM27" s="1538"/>
      <c r="EN27" s="1537"/>
      <c r="EO27" s="1539">
        <f>'Федеральные  средства  по  МО'!AK28</f>
        <v>0</v>
      </c>
      <c r="EP27" s="1537">
        <f t="shared" si="35"/>
        <v>0</v>
      </c>
      <c r="EQ27" s="1537"/>
      <c r="ER27" s="1538"/>
      <c r="ES27" s="108">
        <f>'Федеральные  средства  по  МО'!AL28</f>
        <v>0</v>
      </c>
      <c r="ET27" s="1427">
        <f t="shared" si="36"/>
        <v>0</v>
      </c>
      <c r="EU27" s="1428"/>
      <c r="EV27" s="1427"/>
      <c r="EW27" s="491">
        <f>'Федеральные  средства  по  МО'!AM28</f>
        <v>0</v>
      </c>
      <c r="EX27" s="1576">
        <f t="shared" si="37"/>
        <v>0</v>
      </c>
      <c r="EY27" s="1537"/>
      <c r="EZ27" s="1538"/>
      <c r="FA27" s="1529">
        <f>'Федеральные  средства  по  МО'!AN28</f>
        <v>0</v>
      </c>
      <c r="FB27" s="1537"/>
      <c r="FC27" s="1538"/>
      <c r="FD27" s="1537"/>
      <c r="FE27" s="1539">
        <f>'Федеральные  средства  по  МО'!AO28</f>
        <v>0</v>
      </c>
      <c r="FF27" s="1538"/>
      <c r="FG27" s="1537"/>
      <c r="FH27" s="1538"/>
      <c r="FI27" s="1529">
        <f>'Федеральные  средства  по  МО'!AP28</f>
        <v>2553558.46</v>
      </c>
      <c r="FJ27" s="1537">
        <f>'План и исполнение'!IO29</f>
        <v>1907054.9</v>
      </c>
      <c r="FK27" s="1538">
        <f>'План и исполнение'!JA29</f>
        <v>0</v>
      </c>
      <c r="FL27" s="1537">
        <f>'План и исполнение'!JG29</f>
        <v>646503.56000000006</v>
      </c>
      <c r="FM27" s="1539">
        <f>'Федеральные  средства  по  МО'!AQ28</f>
        <v>2495339.37</v>
      </c>
      <c r="FN27" s="1538">
        <f>'План и исполнение'!IR29</f>
        <v>1848835.81</v>
      </c>
      <c r="FO27" s="1537">
        <f>'План и исполнение'!JD29</f>
        <v>0</v>
      </c>
      <c r="FP27" s="1538">
        <f>'План и исполнение'!JJ29</f>
        <v>646503.56000000006</v>
      </c>
      <c r="FQ27" s="1529">
        <f>'Федеральные  средства  по  МО'!AR28</f>
        <v>0</v>
      </c>
      <c r="FR27" s="1537">
        <f t="shared" si="38"/>
        <v>0</v>
      </c>
      <c r="FS27" s="1538"/>
      <c r="FT27" s="1537"/>
      <c r="FU27" s="1539">
        <f>'Федеральные  средства  по  МО'!AS28</f>
        <v>0</v>
      </c>
      <c r="FV27" s="1537">
        <f t="shared" si="39"/>
        <v>0</v>
      </c>
      <c r="FW27" s="1537"/>
      <c r="FX27" s="1538"/>
      <c r="FY27" s="1529">
        <f>'Федеральные  средства  по  МО'!AT28</f>
        <v>0</v>
      </c>
      <c r="FZ27" s="1537">
        <f>'План и исполнение'!JU29</f>
        <v>0</v>
      </c>
      <c r="GA27" s="1538">
        <f>'План и исполнение'!KO29</f>
        <v>0</v>
      </c>
      <c r="GB27" s="1537">
        <f>'План и исполнение'!KY29</f>
        <v>0</v>
      </c>
      <c r="GC27" s="1539">
        <f>'Федеральные  средства  по  МО'!AU28</f>
        <v>0</v>
      </c>
      <c r="GD27" s="1538">
        <f>'План и исполнение'!JZ29</f>
        <v>0</v>
      </c>
      <c r="GE27" s="1537">
        <f>'План и исполнение'!KT29</f>
        <v>0</v>
      </c>
      <c r="GF27" s="1538">
        <f>'План и исполнение'!LD29</f>
        <v>0</v>
      </c>
      <c r="GG27" s="1529">
        <f>'Федеральные  средства  по  МО'!AV28</f>
        <v>22680000</v>
      </c>
      <c r="GH27" s="1537"/>
      <c r="GI27" s="1538">
        <f>'План и исполнение'!KM29</f>
        <v>22680000</v>
      </c>
      <c r="GJ27" s="1537">
        <f>'План и исполнение'!KW29</f>
        <v>0</v>
      </c>
      <c r="GK27" s="1539">
        <f>'Федеральные  средства  по  МО'!AW28</f>
        <v>781988.82</v>
      </c>
      <c r="GL27" s="1538"/>
      <c r="GM27" s="1537">
        <f>'План и исполнение'!KR29</f>
        <v>781988.82</v>
      </c>
      <c r="GN27" s="1538">
        <f>'План и исполнение'!LB29</f>
        <v>0</v>
      </c>
      <c r="GO27" s="1529">
        <f>'Федеральные  средства  по  МО'!AX28</f>
        <v>0</v>
      </c>
      <c r="GP27" s="1537">
        <f t="shared" si="40"/>
        <v>0</v>
      </c>
      <c r="GQ27" s="1538"/>
      <c r="GR27" s="1537"/>
      <c r="GS27" s="1546">
        <f>'Федеральные  средства  по  МО'!AY28</f>
        <v>0</v>
      </c>
      <c r="GT27" s="1537">
        <f t="shared" si="16"/>
        <v>0</v>
      </c>
      <c r="GU27" s="1538"/>
      <c r="GV27" s="1537"/>
      <c r="GW27" s="1546">
        <f>'Федеральные  средства  по  МО'!AZ28</f>
        <v>0</v>
      </c>
      <c r="GX27" s="1537"/>
      <c r="GY27" s="1538"/>
      <c r="GZ27" s="1537"/>
      <c r="HA27" s="1539">
        <f>'Федеральные  средства  по  МО'!BA28</f>
        <v>0</v>
      </c>
      <c r="HB27" s="1538"/>
      <c r="HC27" s="1537"/>
      <c r="HD27" s="1538"/>
      <c r="HE27" s="1529">
        <f>'Федеральные  средства  по  МО'!BB28</f>
        <v>0</v>
      </c>
      <c r="HF27" s="1537"/>
      <c r="HG27" s="1538"/>
      <c r="HH27" s="1537"/>
      <c r="HI27" s="1546">
        <f>'Федеральные  средства  по  МО'!BC28</f>
        <v>0</v>
      </c>
      <c r="HJ27" s="1537"/>
      <c r="HK27" s="1538"/>
      <c r="HL27" s="1537"/>
      <c r="HM27" s="1546">
        <f>'Федеральные  средства  по  МО'!BD28</f>
        <v>0</v>
      </c>
      <c r="HN27" s="1537"/>
      <c r="HO27" s="1538"/>
      <c r="HP27" s="1537"/>
      <c r="HQ27" s="1539">
        <f>'Федеральные  средства  по  МО'!BE28</f>
        <v>0</v>
      </c>
      <c r="HR27" s="1538"/>
      <c r="HS27" s="1537"/>
      <c r="HT27" s="1538"/>
      <c r="HU27" s="1529">
        <f>'Федеральные  средства  по  МО'!BF28</f>
        <v>16530000</v>
      </c>
      <c r="HV27" s="1537"/>
      <c r="HW27" s="1538"/>
      <c r="HX27" s="1537">
        <f>'План и исполнение'!NM29</f>
        <v>16530000</v>
      </c>
      <c r="HY27" s="1539">
        <f>'Федеральные  средства  по  МО'!BG28</f>
        <v>929407.13</v>
      </c>
      <c r="HZ27" s="1538"/>
      <c r="IA27" s="1537"/>
      <c r="IB27" s="1538">
        <f>'План и исполнение'!NQ29</f>
        <v>929407.13</v>
      </c>
      <c r="IC27" s="1529">
        <f>'Федеральные  средства  по  МО'!BJ28</f>
        <v>3226534.9699999997</v>
      </c>
      <c r="ID27" s="1537"/>
      <c r="IE27" s="1538">
        <f>'План и исполнение'!OQ29</f>
        <v>3226534.9699999997</v>
      </c>
      <c r="IF27" s="1537">
        <f>'План и исполнение'!PE29</f>
        <v>0</v>
      </c>
      <c r="IG27" s="1539">
        <f>'Федеральные  средства  по  МО'!BK28</f>
        <v>231407.06</v>
      </c>
      <c r="IH27" s="1538"/>
      <c r="II27" s="1537">
        <f>'План и исполнение'!OX29</f>
        <v>231407.06</v>
      </c>
      <c r="IJ27" s="1538">
        <f>'План и исполнение'!PL29</f>
        <v>0</v>
      </c>
      <c r="IK27" s="1529">
        <f>'Федеральные  средства  по  МО'!BN28</f>
        <v>0</v>
      </c>
      <c r="IL27" s="1537"/>
      <c r="IM27" s="1538"/>
      <c r="IN27" s="1537"/>
      <c r="IO27" s="1539">
        <f>'Федеральные  средства  по  МО'!BO28</f>
        <v>0</v>
      </c>
      <c r="IP27" s="1538"/>
      <c r="IQ27" s="1537"/>
      <c r="IR27" s="1538"/>
      <c r="IS27" s="1529">
        <f>'Федеральные  средства  по  МО'!BH28</f>
        <v>0</v>
      </c>
      <c r="IT27" s="1537"/>
      <c r="IU27" s="1538">
        <f>'План и исполнение'!OO29</f>
        <v>0</v>
      </c>
      <c r="IV27" s="1537">
        <f>'План и исполнение'!PC29</f>
        <v>0</v>
      </c>
      <c r="IW27" s="1539">
        <f>'Федеральные  средства  по  МО'!BI28</f>
        <v>0</v>
      </c>
      <c r="IX27" s="1538"/>
      <c r="IY27" s="1537">
        <f>'План и исполнение'!OV29</f>
        <v>0</v>
      </c>
      <c r="IZ27" s="1538">
        <f>'План и исполнение'!PJ29</f>
        <v>0</v>
      </c>
      <c r="JA27" s="1529">
        <f>'Федеральные  средства  по  МО'!BP28</f>
        <v>0</v>
      </c>
      <c r="JB27" s="1537">
        <f>'План и исполнение'!PW29</f>
        <v>0</v>
      </c>
      <c r="JC27" s="1538">
        <f>'План и исполнение'!QI29</f>
        <v>0</v>
      </c>
      <c r="JD27" s="1537">
        <f>'План и исполнение'!QO29</f>
        <v>0</v>
      </c>
      <c r="JE27" s="1539">
        <f>'Федеральные  средства  по  МО'!BQ28</f>
        <v>0</v>
      </c>
      <c r="JF27" s="1538">
        <f>'План и исполнение'!PZ29</f>
        <v>0</v>
      </c>
      <c r="JG27" s="1537">
        <f>'План и исполнение'!QL29</f>
        <v>0</v>
      </c>
      <c r="JH27" s="1538">
        <f>'План и исполнение'!QR29</f>
        <v>0</v>
      </c>
      <c r="JI27" s="1529">
        <f>'Федеральные  средства  по  МО'!BL28</f>
        <v>0</v>
      </c>
      <c r="JJ27" s="1537">
        <f>'План и исполнение'!NU29</f>
        <v>0</v>
      </c>
      <c r="JK27" s="1538">
        <f>'План и исполнение'!OS29</f>
        <v>0</v>
      </c>
      <c r="JL27" s="1537">
        <f>'План и исполнение'!PG29</f>
        <v>0</v>
      </c>
      <c r="JM27" s="1539">
        <f>'Федеральные  средства  по  МО'!BM28</f>
        <v>0</v>
      </c>
      <c r="JN27" s="1538">
        <f>'План и исполнение'!NX29</f>
        <v>0</v>
      </c>
      <c r="JO27" s="1537">
        <f>'План и исполнение'!OZ29</f>
        <v>0</v>
      </c>
      <c r="JP27" s="1576">
        <f>'План и исполнение'!PN29</f>
        <v>0</v>
      </c>
    </row>
    <row r="28" spans="1:276" ht="25.5" customHeight="1" thickBot="1" x14ac:dyDescent="0.35">
      <c r="A28" s="160" t="s">
        <v>104</v>
      </c>
      <c r="B28" s="114">
        <f t="shared" ref="B28" si="41">SUM(B10:B27)</f>
        <v>1075777725.45</v>
      </c>
      <c r="C28" s="1429">
        <f t="shared" ref="C28:E28" si="42">SUM(C10:C27)</f>
        <v>810886472.74999988</v>
      </c>
      <c r="D28" s="1429">
        <f t="shared" si="42"/>
        <v>162308930.57000002</v>
      </c>
      <c r="E28" s="1429">
        <f t="shared" si="42"/>
        <v>102582322.13</v>
      </c>
      <c r="F28" s="114">
        <f t="shared" ref="F28:I28" si="43">SUM(F10:F27)</f>
        <v>360676742.16999996</v>
      </c>
      <c r="G28" s="1429">
        <f t="shared" si="43"/>
        <v>309047208.56</v>
      </c>
      <c r="H28" s="1429">
        <f t="shared" si="43"/>
        <v>16707513.739999998</v>
      </c>
      <c r="I28" s="1429">
        <f t="shared" si="43"/>
        <v>34922019.869999997</v>
      </c>
      <c r="J28" s="105"/>
      <c r="K28" s="1421">
        <f>M28-'Федеральные  средства  по  МО'!D29</f>
        <v>0</v>
      </c>
      <c r="L28" s="1421">
        <f>Q28-'Федеральные  средства  по  МО'!E29</f>
        <v>0</v>
      </c>
      <c r="M28" s="114">
        <f t="shared" ref="M28" si="44">SUM(M10:M27)</f>
        <v>1215968761.2</v>
      </c>
      <c r="N28" s="1429">
        <f t="shared" ref="N28:AB28" si="45">SUM(N10:N27)</f>
        <v>845930246.75999987</v>
      </c>
      <c r="O28" s="1429">
        <f t="shared" si="45"/>
        <v>170885723.66999999</v>
      </c>
      <c r="P28" s="1429">
        <f t="shared" si="45"/>
        <v>199152790.77000001</v>
      </c>
      <c r="Q28" s="114">
        <f t="shared" si="45"/>
        <v>419976450.35000002</v>
      </c>
      <c r="R28" s="1429">
        <f t="shared" si="45"/>
        <v>321039781.69</v>
      </c>
      <c r="S28" s="1429">
        <f t="shared" si="45"/>
        <v>19280551.669999998</v>
      </c>
      <c r="T28" s="1429">
        <f t="shared" si="45"/>
        <v>79656116.989999995</v>
      </c>
      <c r="U28" s="112">
        <f t="shared" si="45"/>
        <v>0</v>
      </c>
      <c r="V28" s="1431">
        <f t="shared" si="45"/>
        <v>0</v>
      </c>
      <c r="W28" s="1432">
        <f t="shared" si="45"/>
        <v>0</v>
      </c>
      <c r="X28" s="1431">
        <f t="shared" si="45"/>
        <v>0</v>
      </c>
      <c r="Y28" s="111">
        <f t="shared" si="45"/>
        <v>0</v>
      </c>
      <c r="Z28" s="1432">
        <f t="shared" si="45"/>
        <v>0</v>
      </c>
      <c r="AA28" s="1431">
        <f t="shared" si="45"/>
        <v>0</v>
      </c>
      <c r="AB28" s="1433">
        <f t="shared" si="45"/>
        <v>0</v>
      </c>
      <c r="AC28" s="116">
        <f t="shared" ref="AC28:JM28" si="46">SUM(AC10:AC27)</f>
        <v>140191035.75</v>
      </c>
      <c r="AD28" s="1429">
        <f t="shared" si="46"/>
        <v>35043774.009999998</v>
      </c>
      <c r="AE28" s="1540">
        <f t="shared" si="46"/>
        <v>8576793.0999999978</v>
      </c>
      <c r="AF28" s="1429">
        <f t="shared" si="46"/>
        <v>96570468.639999986</v>
      </c>
      <c r="AG28" s="118">
        <f t="shared" si="46"/>
        <v>59299708.179999992</v>
      </c>
      <c r="AH28" s="1571">
        <f t="shared" ref="AH28:AO28" si="47">SUM(AH10:AH27)</f>
        <v>11992573.129999999</v>
      </c>
      <c r="AI28" s="1429">
        <f t="shared" si="47"/>
        <v>2573037.9299999997</v>
      </c>
      <c r="AJ28" s="1572">
        <f t="shared" si="47"/>
        <v>44734097.120000005</v>
      </c>
      <c r="AK28" s="116">
        <f t="shared" si="47"/>
        <v>0</v>
      </c>
      <c r="AL28" s="1429">
        <f t="shared" si="47"/>
        <v>0</v>
      </c>
      <c r="AM28" s="1540">
        <f t="shared" si="47"/>
        <v>0</v>
      </c>
      <c r="AN28" s="1429">
        <f t="shared" si="47"/>
        <v>0</v>
      </c>
      <c r="AO28" s="118">
        <f t="shared" si="47"/>
        <v>0</v>
      </c>
      <c r="AP28" s="1571">
        <f t="shared" ref="AP28:AR28" si="48">SUM(AP10:AP27)</f>
        <v>0</v>
      </c>
      <c r="AQ28" s="1429">
        <f t="shared" si="48"/>
        <v>0</v>
      </c>
      <c r="AR28" s="1572">
        <f t="shared" si="48"/>
        <v>0</v>
      </c>
      <c r="AS28" s="112">
        <f t="shared" si="46"/>
        <v>2664000</v>
      </c>
      <c r="AT28" s="1429">
        <f t="shared" ref="AT28" si="49">SUM(AT10:AT27)</f>
        <v>2664000</v>
      </c>
      <c r="AU28" s="1431">
        <f t="shared" ref="AU28:AV28" si="50">SUM(AU10:AU27)</f>
        <v>0</v>
      </c>
      <c r="AV28" s="1432">
        <f t="shared" si="50"/>
        <v>0</v>
      </c>
      <c r="AW28" s="111">
        <f t="shared" si="46"/>
        <v>0</v>
      </c>
      <c r="AX28" s="1429">
        <f t="shared" ref="AX28" si="51">SUM(AX10:AX27)</f>
        <v>0</v>
      </c>
      <c r="AY28" s="1432">
        <f t="shared" ref="AY28:AZ28" si="52">SUM(AY10:AY27)</f>
        <v>0</v>
      </c>
      <c r="AZ28" s="1431">
        <f t="shared" si="52"/>
        <v>0</v>
      </c>
      <c r="BA28" s="115">
        <f t="shared" si="46"/>
        <v>363600</v>
      </c>
      <c r="BB28" s="1429">
        <f t="shared" si="46"/>
        <v>363600</v>
      </c>
      <c r="BC28" s="1432">
        <f t="shared" ref="BC28:BD28" si="53">SUM(BC10:BC27)</f>
        <v>0</v>
      </c>
      <c r="BD28" s="1431">
        <f t="shared" si="53"/>
        <v>0</v>
      </c>
      <c r="BE28" s="114">
        <f t="shared" si="46"/>
        <v>0</v>
      </c>
      <c r="BF28" s="1429">
        <f t="shared" si="46"/>
        <v>0</v>
      </c>
      <c r="BG28" s="1431">
        <f t="shared" ref="BG28:BH28" si="54">SUM(BG10:BG27)</f>
        <v>0</v>
      </c>
      <c r="BH28" s="1432">
        <f t="shared" si="54"/>
        <v>0</v>
      </c>
      <c r="BI28" s="111">
        <f>SUM(BI10:BI27)</f>
        <v>4766000</v>
      </c>
      <c r="BJ28" s="1429">
        <f t="shared" ref="BJ28" si="55">SUM(BJ10:BJ27)</f>
        <v>4766000</v>
      </c>
      <c r="BK28" s="1431">
        <f t="shared" ref="BK28:BL28" si="56">SUM(BK10:BK27)</f>
        <v>0</v>
      </c>
      <c r="BL28" s="1432">
        <f t="shared" si="56"/>
        <v>0</v>
      </c>
      <c r="BM28" s="114">
        <f>SUM(BM10:BM27)</f>
        <v>0</v>
      </c>
      <c r="BN28" s="1429">
        <f t="shared" ref="BN28" si="57">SUM(BN10:BN27)</f>
        <v>0</v>
      </c>
      <c r="BO28" s="1431">
        <f t="shared" ref="BO28:BP28" si="58">SUM(BO10:BO27)</f>
        <v>0</v>
      </c>
      <c r="BP28" s="1432">
        <f t="shared" si="58"/>
        <v>0</v>
      </c>
      <c r="BQ28" s="111">
        <f t="shared" ref="BQ28:DD28" si="59">SUM(BQ10:BQ27)</f>
        <v>11438700</v>
      </c>
      <c r="BR28" s="1429">
        <f t="shared" ref="BR28" si="60">SUM(BR10:BR27)</f>
        <v>11438700</v>
      </c>
      <c r="BS28" s="1431">
        <f t="shared" si="59"/>
        <v>0</v>
      </c>
      <c r="BT28" s="1432">
        <f t="shared" si="59"/>
        <v>0</v>
      </c>
      <c r="BU28" s="114">
        <f t="shared" si="59"/>
        <v>5670930.9699999997</v>
      </c>
      <c r="BV28" s="1429">
        <f t="shared" si="59"/>
        <v>5670930.9699999997</v>
      </c>
      <c r="BW28" s="1431">
        <f t="shared" si="59"/>
        <v>0</v>
      </c>
      <c r="BX28" s="1432">
        <f t="shared" si="59"/>
        <v>0</v>
      </c>
      <c r="BY28" s="116">
        <f t="shared" si="59"/>
        <v>40000000</v>
      </c>
      <c r="BZ28" s="1429">
        <f t="shared" si="59"/>
        <v>40000000</v>
      </c>
      <c r="CA28" s="1540">
        <f t="shared" si="59"/>
        <v>0</v>
      </c>
      <c r="CB28" s="1429">
        <f t="shared" si="59"/>
        <v>0</v>
      </c>
      <c r="CC28" s="463">
        <f t="shared" si="59"/>
        <v>0</v>
      </c>
      <c r="CD28" s="1571">
        <f t="shared" si="59"/>
        <v>0</v>
      </c>
      <c r="CE28" s="1429">
        <f t="shared" si="59"/>
        <v>0</v>
      </c>
      <c r="CF28" s="1572">
        <f t="shared" si="59"/>
        <v>0</v>
      </c>
      <c r="CG28" s="112">
        <f t="shared" ref="CG28:CV28" si="61">SUM(CG10:CG27)</f>
        <v>0</v>
      </c>
      <c r="CH28" s="1431">
        <f t="shared" si="61"/>
        <v>0</v>
      </c>
      <c r="CI28" s="1432">
        <f t="shared" si="61"/>
        <v>0</v>
      </c>
      <c r="CJ28" s="1431">
        <f t="shared" si="61"/>
        <v>0</v>
      </c>
      <c r="CK28" s="1297">
        <f t="shared" si="61"/>
        <v>0</v>
      </c>
      <c r="CL28" s="1430">
        <f t="shared" si="61"/>
        <v>0</v>
      </c>
      <c r="CM28" s="1431">
        <f t="shared" si="61"/>
        <v>0</v>
      </c>
      <c r="CN28" s="1432">
        <f t="shared" si="61"/>
        <v>0</v>
      </c>
      <c r="CO28" s="112">
        <f t="shared" si="61"/>
        <v>141345300</v>
      </c>
      <c r="CP28" s="1429">
        <f t="shared" si="61"/>
        <v>141345300</v>
      </c>
      <c r="CQ28" s="1540">
        <f t="shared" si="61"/>
        <v>0</v>
      </c>
      <c r="CR28" s="1429">
        <f t="shared" si="61"/>
        <v>0</v>
      </c>
      <c r="CS28" s="463">
        <f t="shared" si="61"/>
        <v>15502652.77</v>
      </c>
      <c r="CT28" s="1571">
        <f t="shared" si="61"/>
        <v>15502652.77</v>
      </c>
      <c r="CU28" s="1429">
        <f t="shared" si="61"/>
        <v>0</v>
      </c>
      <c r="CV28" s="1572">
        <f t="shared" si="61"/>
        <v>0</v>
      </c>
      <c r="CW28" s="112">
        <f t="shared" si="59"/>
        <v>0</v>
      </c>
      <c r="CX28" s="1430">
        <f t="shared" si="59"/>
        <v>0</v>
      </c>
      <c r="CY28" s="1431">
        <f t="shared" si="59"/>
        <v>0</v>
      </c>
      <c r="CZ28" s="1432">
        <f t="shared" si="59"/>
        <v>0</v>
      </c>
      <c r="DA28" s="111">
        <f t="shared" si="59"/>
        <v>0</v>
      </c>
      <c r="DB28" s="1430">
        <f t="shared" si="59"/>
        <v>0</v>
      </c>
      <c r="DC28" s="1431">
        <f t="shared" si="59"/>
        <v>0</v>
      </c>
      <c r="DD28" s="1432">
        <f t="shared" si="59"/>
        <v>0</v>
      </c>
      <c r="DE28" s="112">
        <f t="shared" ref="DE28:DT28" si="62">SUM(DE10:DE27)</f>
        <v>0</v>
      </c>
      <c r="DF28" s="1431">
        <f t="shared" si="62"/>
        <v>0</v>
      </c>
      <c r="DG28" s="1432">
        <f t="shared" si="62"/>
        <v>0</v>
      </c>
      <c r="DH28" s="1431">
        <f t="shared" si="62"/>
        <v>0</v>
      </c>
      <c r="DI28" s="1297">
        <f t="shared" si="62"/>
        <v>0</v>
      </c>
      <c r="DJ28" s="1430">
        <f t="shared" si="62"/>
        <v>0</v>
      </c>
      <c r="DK28" s="1431">
        <f t="shared" si="62"/>
        <v>0</v>
      </c>
      <c r="DL28" s="1432">
        <f t="shared" si="62"/>
        <v>0</v>
      </c>
      <c r="DM28" s="112">
        <f t="shared" si="62"/>
        <v>16640800</v>
      </c>
      <c r="DN28" s="1429">
        <f t="shared" si="62"/>
        <v>16640800</v>
      </c>
      <c r="DO28" s="1540">
        <f t="shared" si="62"/>
        <v>0</v>
      </c>
      <c r="DP28" s="1429">
        <f t="shared" si="62"/>
        <v>0</v>
      </c>
      <c r="DQ28" s="463">
        <f t="shared" si="62"/>
        <v>0</v>
      </c>
      <c r="DR28" s="1571">
        <f t="shared" si="62"/>
        <v>0</v>
      </c>
      <c r="DS28" s="1429">
        <f t="shared" si="62"/>
        <v>0</v>
      </c>
      <c r="DT28" s="1540">
        <f t="shared" si="62"/>
        <v>0</v>
      </c>
      <c r="DU28" s="116">
        <f>SUM(DU10:DU27)</f>
        <v>5885332.7499999991</v>
      </c>
      <c r="DV28" s="1429">
        <f t="shared" ref="DV28:DX28" si="63">SUM(DV10:DV27)</f>
        <v>0</v>
      </c>
      <c r="DW28" s="1429">
        <f t="shared" si="63"/>
        <v>5473346.1399999997</v>
      </c>
      <c r="DX28" s="1572">
        <f t="shared" si="63"/>
        <v>411986.61</v>
      </c>
      <c r="DY28" s="114">
        <f>SUM(DY10:DY27)</f>
        <v>1224508.2</v>
      </c>
      <c r="DZ28" s="1571">
        <f t="shared" ref="DZ28:EB28" si="64">SUM(DZ10:DZ27)</f>
        <v>0</v>
      </c>
      <c r="EA28" s="1429">
        <f t="shared" si="64"/>
        <v>1039616.3799999999</v>
      </c>
      <c r="EB28" s="1540">
        <f t="shared" si="64"/>
        <v>184891.82</v>
      </c>
      <c r="EC28" s="116">
        <f>SUM(EC10:EC27)</f>
        <v>0</v>
      </c>
      <c r="ED28" s="1571">
        <f t="shared" ref="ED28:EF28" si="65">SUM(ED10:ED27)</f>
        <v>0</v>
      </c>
      <c r="EE28" s="1571">
        <f t="shared" si="65"/>
        <v>0</v>
      </c>
      <c r="EF28" s="1429">
        <f t="shared" si="65"/>
        <v>0</v>
      </c>
      <c r="EG28" s="463">
        <f>SUM(EG10:EG27)</f>
        <v>0</v>
      </c>
      <c r="EH28" s="1571">
        <f t="shared" ref="EH28:ER28" si="66">SUM(EH10:EH27)</f>
        <v>0</v>
      </c>
      <c r="EI28" s="1429">
        <f t="shared" si="66"/>
        <v>0</v>
      </c>
      <c r="EJ28" s="1540">
        <f t="shared" si="66"/>
        <v>0</v>
      </c>
      <c r="EK28" s="116">
        <f t="shared" si="66"/>
        <v>0</v>
      </c>
      <c r="EL28" s="1429">
        <f t="shared" si="66"/>
        <v>0</v>
      </c>
      <c r="EM28" s="1540">
        <f t="shared" si="66"/>
        <v>0</v>
      </c>
      <c r="EN28" s="1429">
        <f t="shared" si="66"/>
        <v>0</v>
      </c>
      <c r="EO28" s="463">
        <f t="shared" si="66"/>
        <v>0</v>
      </c>
      <c r="EP28" s="1571">
        <f t="shared" si="66"/>
        <v>0</v>
      </c>
      <c r="EQ28" s="1429">
        <f t="shared" si="66"/>
        <v>0</v>
      </c>
      <c r="ER28" s="1540">
        <f t="shared" si="66"/>
        <v>0</v>
      </c>
      <c r="ES28" s="112">
        <f t="shared" ref="ES28:EZ28" si="67">SUM(ES10:ES27)</f>
        <v>7199992.71</v>
      </c>
      <c r="ET28" s="1431">
        <f t="shared" si="67"/>
        <v>7199992.71</v>
      </c>
      <c r="EU28" s="1432">
        <f t="shared" si="67"/>
        <v>0</v>
      </c>
      <c r="EV28" s="1431">
        <f t="shared" si="67"/>
        <v>0</v>
      </c>
      <c r="EW28" s="1297">
        <f t="shared" si="67"/>
        <v>0</v>
      </c>
      <c r="EX28" s="1571">
        <f t="shared" si="67"/>
        <v>0</v>
      </c>
      <c r="EY28" s="1429">
        <f t="shared" si="67"/>
        <v>0</v>
      </c>
      <c r="EZ28" s="1540">
        <f t="shared" si="67"/>
        <v>0</v>
      </c>
      <c r="FA28" s="116">
        <f t="shared" si="46"/>
        <v>0</v>
      </c>
      <c r="FB28" s="1429">
        <f t="shared" ref="FB28:FD28" si="68">SUM(FB10:FB27)</f>
        <v>0</v>
      </c>
      <c r="FC28" s="1540">
        <f t="shared" si="68"/>
        <v>0</v>
      </c>
      <c r="FD28" s="1429">
        <f t="shared" si="68"/>
        <v>0</v>
      </c>
      <c r="FE28" s="463">
        <f t="shared" si="46"/>
        <v>0</v>
      </c>
      <c r="FF28" s="1571">
        <f t="shared" ref="FF28:FH28" si="69">SUM(FF10:FF27)</f>
        <v>0</v>
      </c>
      <c r="FG28" s="1429">
        <f t="shared" si="69"/>
        <v>0</v>
      </c>
      <c r="FH28" s="1429">
        <f t="shared" si="69"/>
        <v>0</v>
      </c>
      <c r="FI28" s="118">
        <f t="shared" si="46"/>
        <v>18848699.989999998</v>
      </c>
      <c r="FJ28" s="1429">
        <f t="shared" ref="FJ28:FL28" si="70">SUM(FJ10:FJ27)</f>
        <v>8024759.5600000005</v>
      </c>
      <c r="FK28" s="1540">
        <f t="shared" si="70"/>
        <v>7833604.9099999992</v>
      </c>
      <c r="FL28" s="1429">
        <f t="shared" si="70"/>
        <v>2990335.52</v>
      </c>
      <c r="FM28" s="463">
        <f t="shared" si="46"/>
        <v>13328033.359999999</v>
      </c>
      <c r="FN28" s="1571">
        <f t="shared" ref="FN28:FU28" si="71">SUM(FN10:FN27)</f>
        <v>4120139.87</v>
      </c>
      <c r="FO28" s="1429">
        <f t="shared" si="71"/>
        <v>6862936.25</v>
      </c>
      <c r="FP28" s="1540">
        <f t="shared" si="71"/>
        <v>2344957.2400000002</v>
      </c>
      <c r="FQ28" s="116">
        <f t="shared" si="71"/>
        <v>24211700</v>
      </c>
      <c r="FR28" s="1429">
        <f t="shared" si="71"/>
        <v>24211700</v>
      </c>
      <c r="FS28" s="1540">
        <f t="shared" si="71"/>
        <v>0</v>
      </c>
      <c r="FT28" s="1429">
        <f t="shared" si="71"/>
        <v>0</v>
      </c>
      <c r="FU28" s="463">
        <f t="shared" si="71"/>
        <v>9996648.7699999996</v>
      </c>
      <c r="FV28" s="1571">
        <f t="shared" ref="FV28:GF28" si="72">SUM(FV10:FV27)</f>
        <v>9996648.7699999996</v>
      </c>
      <c r="FW28" s="1429">
        <f t="shared" si="72"/>
        <v>0</v>
      </c>
      <c r="FX28" s="1540">
        <f t="shared" si="72"/>
        <v>0</v>
      </c>
      <c r="FY28" s="114">
        <f t="shared" si="72"/>
        <v>227600</v>
      </c>
      <c r="FZ28" s="1429">
        <f t="shared" si="72"/>
        <v>222620.48</v>
      </c>
      <c r="GA28" s="1540">
        <f t="shared" si="72"/>
        <v>4979.5200000000004</v>
      </c>
      <c r="GB28" s="1429">
        <f t="shared" si="72"/>
        <v>0</v>
      </c>
      <c r="GC28" s="463">
        <f t="shared" si="72"/>
        <v>0</v>
      </c>
      <c r="GD28" s="1571">
        <f t="shared" si="72"/>
        <v>0</v>
      </c>
      <c r="GE28" s="1429">
        <f t="shared" si="72"/>
        <v>0</v>
      </c>
      <c r="GF28" s="1540">
        <f t="shared" si="72"/>
        <v>0</v>
      </c>
      <c r="GG28" s="116">
        <f t="shared" si="46"/>
        <v>45360000</v>
      </c>
      <c r="GH28" s="1571">
        <f t="shared" ref="GH28:GJ28" si="73">SUM(GH10:GH27)</f>
        <v>0</v>
      </c>
      <c r="GI28" s="1571">
        <f t="shared" si="73"/>
        <v>45360000</v>
      </c>
      <c r="GJ28" s="1429">
        <f t="shared" si="73"/>
        <v>0</v>
      </c>
      <c r="GK28" s="463">
        <f t="shared" si="46"/>
        <v>3569892.9499999997</v>
      </c>
      <c r="GL28" s="1571">
        <f t="shared" ref="GL28:GN28" si="74">SUM(GL10:GL27)</f>
        <v>0</v>
      </c>
      <c r="GM28" s="1429">
        <f t="shared" si="74"/>
        <v>3569892.9499999997</v>
      </c>
      <c r="GN28" s="1540">
        <f t="shared" si="74"/>
        <v>0</v>
      </c>
      <c r="GO28" s="116">
        <f t="shared" si="46"/>
        <v>261338000</v>
      </c>
      <c r="GP28" s="1429">
        <f t="shared" ref="GP28:GR28" si="75">SUM(GP10:GP27)</f>
        <v>261338000</v>
      </c>
      <c r="GQ28" s="1540">
        <f t="shared" si="75"/>
        <v>0</v>
      </c>
      <c r="GR28" s="1429">
        <f t="shared" si="75"/>
        <v>0</v>
      </c>
      <c r="GS28" s="118">
        <f t="shared" si="46"/>
        <v>261338000</v>
      </c>
      <c r="GT28" s="1429">
        <f t="shared" ref="GT28:GV28" si="76">SUM(GT10:GT27)</f>
        <v>261338000</v>
      </c>
      <c r="GU28" s="1540">
        <f t="shared" si="76"/>
        <v>0</v>
      </c>
      <c r="GV28" s="1429">
        <f t="shared" si="76"/>
        <v>0</v>
      </c>
      <c r="GW28" s="118">
        <f t="shared" si="46"/>
        <v>0</v>
      </c>
      <c r="GX28" s="1429">
        <f t="shared" ref="GX28:GZ28" si="77">SUM(GX10:GX27)</f>
        <v>0</v>
      </c>
      <c r="GY28" s="1540">
        <f t="shared" si="77"/>
        <v>0</v>
      </c>
      <c r="GZ28" s="1429">
        <f t="shared" si="77"/>
        <v>0</v>
      </c>
      <c r="HA28" s="463">
        <f t="shared" si="46"/>
        <v>0</v>
      </c>
      <c r="HB28" s="1571">
        <f t="shared" ref="HB28:HD28" si="78">SUM(HB10:HB27)</f>
        <v>0</v>
      </c>
      <c r="HC28" s="1429">
        <f t="shared" si="78"/>
        <v>0</v>
      </c>
      <c r="HD28" s="1540">
        <f t="shared" si="78"/>
        <v>0</v>
      </c>
      <c r="HE28" s="116">
        <f>SUM(HE10:HE27)</f>
        <v>0</v>
      </c>
      <c r="HF28" s="1429">
        <f t="shared" ref="HF28:HH28" si="79">SUM(HF10:HF27)</f>
        <v>0</v>
      </c>
      <c r="HG28" s="1540">
        <f t="shared" si="79"/>
        <v>0</v>
      </c>
      <c r="HH28" s="1429">
        <f t="shared" si="79"/>
        <v>0</v>
      </c>
      <c r="HI28" s="118">
        <f>SUM(HI10:HI27)</f>
        <v>0</v>
      </c>
      <c r="HJ28" s="1429">
        <f t="shared" ref="HJ28:HL28" si="80">SUM(HJ10:HJ27)</f>
        <v>0</v>
      </c>
      <c r="HK28" s="1540">
        <f t="shared" si="80"/>
        <v>0</v>
      </c>
      <c r="HL28" s="1429">
        <f t="shared" si="80"/>
        <v>0</v>
      </c>
      <c r="HM28" s="118">
        <f>SUM(HM10:HM27)</f>
        <v>0</v>
      </c>
      <c r="HN28" s="1429">
        <f t="shared" ref="HN28:HP28" si="81">SUM(HN10:HN27)</f>
        <v>0</v>
      </c>
      <c r="HO28" s="1540">
        <f t="shared" si="81"/>
        <v>0</v>
      </c>
      <c r="HP28" s="1429">
        <f t="shared" si="81"/>
        <v>0</v>
      </c>
      <c r="HQ28" s="463">
        <f>SUM(HQ10:HQ27)</f>
        <v>0</v>
      </c>
      <c r="HR28" s="1571">
        <f t="shared" ref="HR28:HT28" si="82">SUM(HR10:HR27)</f>
        <v>0</v>
      </c>
      <c r="HS28" s="1429">
        <f t="shared" si="82"/>
        <v>0</v>
      </c>
      <c r="HT28" s="1540">
        <f t="shared" si="82"/>
        <v>0</v>
      </c>
      <c r="HU28" s="116">
        <f t="shared" si="46"/>
        <v>99180000</v>
      </c>
      <c r="HV28" s="1429">
        <f t="shared" ref="HV28:HX28" si="83">SUM(HV10:HV27)</f>
        <v>0</v>
      </c>
      <c r="HW28" s="1540">
        <f t="shared" si="83"/>
        <v>0</v>
      </c>
      <c r="HX28" s="1429">
        <f t="shared" si="83"/>
        <v>99180000</v>
      </c>
      <c r="HY28" s="463">
        <f t="shared" si="46"/>
        <v>32392170.810000002</v>
      </c>
      <c r="HZ28" s="1571">
        <f t="shared" ref="HZ28:IB28" si="84">SUM(HZ10:HZ27)</f>
        <v>0</v>
      </c>
      <c r="IA28" s="1429">
        <f t="shared" si="84"/>
        <v>0</v>
      </c>
      <c r="IB28" s="1540">
        <f t="shared" si="84"/>
        <v>32392170.810000002</v>
      </c>
      <c r="IC28" s="116">
        <f t="shared" si="46"/>
        <v>83595200</v>
      </c>
      <c r="ID28" s="1429">
        <f t="shared" ref="ID28:IF28" si="85">SUM(ID10:ID27)</f>
        <v>0</v>
      </c>
      <c r="IE28" s="1540">
        <f t="shared" si="85"/>
        <v>83595200</v>
      </c>
      <c r="IF28" s="1429">
        <f t="shared" si="85"/>
        <v>0</v>
      </c>
      <c r="IG28" s="463">
        <f t="shared" si="46"/>
        <v>5235068.1599999992</v>
      </c>
      <c r="IH28" s="1571">
        <f t="shared" ref="IH28:IJ28" si="86">SUM(IH10:IH27)</f>
        <v>0</v>
      </c>
      <c r="II28" s="1429">
        <f t="shared" si="86"/>
        <v>5235068.1599999992</v>
      </c>
      <c r="IJ28" s="1540">
        <f t="shared" si="86"/>
        <v>0</v>
      </c>
      <c r="IK28" s="116">
        <f t="shared" si="46"/>
        <v>0</v>
      </c>
      <c r="IL28" s="1429">
        <f t="shared" ref="IL28:IN28" si="87">SUM(IL10:IL27)</f>
        <v>0</v>
      </c>
      <c r="IM28" s="1540">
        <f t="shared" si="87"/>
        <v>0</v>
      </c>
      <c r="IN28" s="1429">
        <f t="shared" si="87"/>
        <v>0</v>
      </c>
      <c r="IO28" s="463">
        <f t="shared" si="46"/>
        <v>0</v>
      </c>
      <c r="IP28" s="1571">
        <f t="shared" ref="IP28:IR28" si="88">SUM(IP10:IP27)</f>
        <v>0</v>
      </c>
      <c r="IQ28" s="1429">
        <f t="shared" si="88"/>
        <v>0</v>
      </c>
      <c r="IR28" s="1540">
        <f t="shared" si="88"/>
        <v>0</v>
      </c>
      <c r="IS28" s="116">
        <f t="shared" si="46"/>
        <v>20041800</v>
      </c>
      <c r="IT28" s="1429">
        <f t="shared" ref="IT28:IV28" si="89">SUM(IT10:IT27)</f>
        <v>0</v>
      </c>
      <c r="IU28" s="1540">
        <f t="shared" si="89"/>
        <v>20041800</v>
      </c>
      <c r="IV28" s="1429">
        <f t="shared" si="89"/>
        <v>0</v>
      </c>
      <c r="IW28" s="463">
        <f t="shared" si="46"/>
        <v>0</v>
      </c>
      <c r="IX28" s="1571">
        <f t="shared" ref="IX28:IZ28" si="90">SUM(IX10:IX27)</f>
        <v>0</v>
      </c>
      <c r="IY28" s="1429">
        <f t="shared" si="90"/>
        <v>0</v>
      </c>
      <c r="IZ28" s="1540">
        <f t="shared" si="90"/>
        <v>0</v>
      </c>
      <c r="JA28" s="116">
        <f t="shared" si="46"/>
        <v>9594700</v>
      </c>
      <c r="JB28" s="1429">
        <f t="shared" ref="JB28:JD28" si="91">SUM(JB10:JB27)</f>
        <v>9594700</v>
      </c>
      <c r="JC28" s="1540">
        <f t="shared" si="91"/>
        <v>0</v>
      </c>
      <c r="JD28" s="1429">
        <f t="shared" si="91"/>
        <v>0</v>
      </c>
      <c r="JE28" s="463">
        <f t="shared" si="46"/>
        <v>0</v>
      </c>
      <c r="JF28" s="1571">
        <f t="shared" ref="JF28:JH28" si="92">SUM(JF10:JF27)</f>
        <v>0</v>
      </c>
      <c r="JG28" s="1429">
        <f t="shared" si="92"/>
        <v>0</v>
      </c>
      <c r="JH28" s="1540">
        <f t="shared" si="92"/>
        <v>0</v>
      </c>
      <c r="JI28" s="116">
        <f t="shared" si="46"/>
        <v>283076300</v>
      </c>
      <c r="JJ28" s="1429">
        <f t="shared" ref="JJ28:JL28" si="93">SUM(JJ10:JJ27)</f>
        <v>283076300</v>
      </c>
      <c r="JK28" s="1540">
        <f t="shared" si="93"/>
        <v>0</v>
      </c>
      <c r="JL28" s="1429">
        <f t="shared" si="93"/>
        <v>0</v>
      </c>
      <c r="JM28" s="463">
        <f t="shared" si="46"/>
        <v>12418836.18</v>
      </c>
      <c r="JN28" s="1571">
        <f t="shared" ref="JN28:JP28" si="94">SUM(JN10:JN27)</f>
        <v>12418836.18</v>
      </c>
      <c r="JO28" s="1429">
        <f t="shared" si="94"/>
        <v>0</v>
      </c>
      <c r="JP28" s="1572">
        <f t="shared" si="94"/>
        <v>0</v>
      </c>
    </row>
    <row r="29" spans="1:276" ht="25.5" customHeight="1" x14ac:dyDescent="0.3">
      <c r="A29" s="105"/>
      <c r="B29" s="161"/>
      <c r="C29" s="1434"/>
      <c r="D29" s="1434"/>
      <c r="E29" s="1434"/>
      <c r="F29" s="161"/>
      <c r="G29" s="1434"/>
      <c r="H29" s="1434"/>
      <c r="I29" s="1434"/>
      <c r="J29" s="105"/>
      <c r="K29" s="1421">
        <f>M29-'Федеральные  средства  по  МО'!D30</f>
        <v>0</v>
      </c>
      <c r="L29" s="1421">
        <f>Q29-'Федеральные  средства  по  МО'!E30</f>
        <v>0</v>
      </c>
      <c r="M29" s="161"/>
      <c r="N29" s="1434"/>
      <c r="O29" s="1434"/>
      <c r="P29" s="1434"/>
      <c r="Q29" s="161"/>
      <c r="R29" s="1434"/>
      <c r="S29" s="1434"/>
      <c r="T29" s="1434"/>
      <c r="U29" s="203"/>
      <c r="V29" s="1436"/>
      <c r="W29" s="1437"/>
      <c r="X29" s="1436"/>
      <c r="Y29" s="120"/>
      <c r="Z29" s="1437"/>
      <c r="AA29" s="1436"/>
      <c r="AB29" s="1453"/>
      <c r="AC29" s="203"/>
      <c r="AD29" s="1435"/>
      <c r="AE29" s="1436"/>
      <c r="AF29" s="1437"/>
      <c r="AG29" s="120"/>
      <c r="AH29" s="1435"/>
      <c r="AI29" s="1436"/>
      <c r="AJ29" s="1453"/>
      <c r="AK29" s="203"/>
      <c r="AL29" s="1435"/>
      <c r="AM29" s="1436"/>
      <c r="AN29" s="1437"/>
      <c r="AO29" s="120"/>
      <c r="AP29" s="1435"/>
      <c r="AQ29" s="1436"/>
      <c r="AR29" s="1453"/>
      <c r="AS29" s="700"/>
      <c r="AT29" s="1518"/>
      <c r="AU29" s="1518"/>
      <c r="AV29" s="1519"/>
      <c r="AW29" s="117"/>
      <c r="AX29" s="1518"/>
      <c r="AY29" s="1519"/>
      <c r="AZ29" s="1518"/>
      <c r="BA29" s="1520"/>
      <c r="BB29" s="1518"/>
      <c r="BC29" s="1519"/>
      <c r="BD29" s="1518"/>
      <c r="BE29" s="117"/>
      <c r="BF29" s="1518"/>
      <c r="BG29" s="1436"/>
      <c r="BH29" s="1437"/>
      <c r="BI29" s="120"/>
      <c r="BJ29" s="1518"/>
      <c r="BK29" s="1436"/>
      <c r="BL29" s="1437"/>
      <c r="BM29" s="832"/>
      <c r="BN29" s="1518"/>
      <c r="BO29" s="1436"/>
      <c r="BP29" s="1437"/>
      <c r="BQ29" s="700"/>
      <c r="BR29" s="1518"/>
      <c r="BS29" s="1518"/>
      <c r="BT29" s="1519"/>
      <c r="BU29" s="117"/>
      <c r="BV29" s="1518"/>
      <c r="BW29" s="1436"/>
      <c r="BX29" s="1437"/>
      <c r="BY29" s="700"/>
      <c r="BZ29" s="1518"/>
      <c r="CA29" s="1519"/>
      <c r="CB29" s="1518"/>
      <c r="CC29" s="1536"/>
      <c r="CD29" s="1435"/>
      <c r="CE29" s="1436"/>
      <c r="CF29" s="1437"/>
      <c r="CG29" s="700"/>
      <c r="CH29" s="1517"/>
      <c r="CI29" s="1518"/>
      <c r="CJ29" s="1519"/>
      <c r="CK29" s="117"/>
      <c r="CL29" s="1435"/>
      <c r="CM29" s="1436"/>
      <c r="CN29" s="1437"/>
      <c r="CO29" s="700"/>
      <c r="CP29" s="1517"/>
      <c r="CQ29" s="1518"/>
      <c r="CR29" s="1519"/>
      <c r="CS29" s="117"/>
      <c r="CT29" s="1435"/>
      <c r="CU29" s="1436"/>
      <c r="CV29" s="1437"/>
      <c r="CW29" s="700"/>
      <c r="CX29" s="1517"/>
      <c r="CY29" s="1518"/>
      <c r="CZ29" s="1519"/>
      <c r="DA29" s="117"/>
      <c r="DB29" s="1435"/>
      <c r="DC29" s="1436"/>
      <c r="DD29" s="1437"/>
      <c r="DE29" s="700"/>
      <c r="DF29" s="1517"/>
      <c r="DG29" s="1518"/>
      <c r="DH29" s="1519"/>
      <c r="DI29" s="117"/>
      <c r="DJ29" s="1435"/>
      <c r="DK29" s="1436"/>
      <c r="DL29" s="1437"/>
      <c r="DM29" s="700"/>
      <c r="DN29" s="1517"/>
      <c r="DO29" s="1518"/>
      <c r="DP29" s="1519"/>
      <c r="DQ29" s="117"/>
      <c r="DR29" s="1435"/>
      <c r="DS29" s="1436"/>
      <c r="DT29" s="1437"/>
      <c r="DU29" s="700"/>
      <c r="DV29" s="1517"/>
      <c r="DW29" s="1518"/>
      <c r="DX29" s="1519"/>
      <c r="DY29" s="117"/>
      <c r="DZ29" s="1435"/>
      <c r="EA29" s="1436"/>
      <c r="EB29" s="1437"/>
      <c r="EC29" s="700"/>
      <c r="ED29" s="1517"/>
      <c r="EE29" s="1518"/>
      <c r="EF29" s="1519"/>
      <c r="EG29" s="117"/>
      <c r="EH29" s="1435"/>
      <c r="EI29" s="1436"/>
      <c r="EJ29" s="1437"/>
      <c r="EK29" s="113"/>
      <c r="EL29" s="1517"/>
      <c r="EM29" s="1518"/>
      <c r="EN29" s="1519"/>
      <c r="EO29" s="117"/>
      <c r="EP29" s="1435"/>
      <c r="EQ29" s="1436"/>
      <c r="ER29" s="1437"/>
      <c r="ES29" s="700"/>
      <c r="ET29" s="1518"/>
      <c r="EU29" s="1519"/>
      <c r="EV29" s="1518"/>
      <c r="EW29" s="1536"/>
      <c r="EX29" s="1435"/>
      <c r="EY29" s="1436"/>
      <c r="EZ29" s="1437"/>
      <c r="FA29" s="120"/>
      <c r="FB29" s="1435"/>
      <c r="FC29" s="1436"/>
      <c r="FD29" s="1437"/>
      <c r="FE29" s="119"/>
      <c r="FF29" s="1435"/>
      <c r="FG29" s="1436"/>
      <c r="FH29" s="1436"/>
      <c r="FI29" s="1520"/>
      <c r="FJ29" s="1517"/>
      <c r="FK29" s="1518"/>
      <c r="FL29" s="1519"/>
      <c r="FM29" s="117"/>
      <c r="FN29" s="1435"/>
      <c r="FO29" s="1436"/>
      <c r="FP29" s="1437"/>
      <c r="FQ29" s="113"/>
      <c r="FR29" s="1517"/>
      <c r="FS29" s="1517"/>
      <c r="FT29" s="1518"/>
      <c r="FU29" s="1536"/>
      <c r="FV29" s="1435"/>
      <c r="FW29" s="1436"/>
      <c r="FX29" s="1437"/>
      <c r="FY29" s="113"/>
      <c r="FZ29" s="1517"/>
      <c r="GA29" s="1518"/>
      <c r="GB29" s="1519"/>
      <c r="GC29" s="117"/>
      <c r="GD29" s="1517"/>
      <c r="GE29" s="1436"/>
      <c r="GF29" s="1437"/>
      <c r="GG29" s="700"/>
      <c r="GH29" s="1517"/>
      <c r="GI29" s="1518"/>
      <c r="GJ29" s="1519"/>
      <c r="GK29" s="117"/>
      <c r="GL29" s="1435"/>
      <c r="GM29" s="1436"/>
      <c r="GN29" s="1437"/>
      <c r="GO29" s="700"/>
      <c r="GP29" s="1517"/>
      <c r="GQ29" s="1518"/>
      <c r="GR29" s="1519"/>
      <c r="GS29" s="831"/>
      <c r="GT29" s="1518"/>
      <c r="GU29" s="1519"/>
      <c r="GV29" s="1518"/>
      <c r="GW29" s="1520"/>
      <c r="GX29" s="1518"/>
      <c r="GY29" s="1519"/>
      <c r="GZ29" s="1518"/>
      <c r="HA29" s="1536"/>
      <c r="HB29" s="1435"/>
      <c r="HC29" s="1436"/>
      <c r="HD29" s="1437"/>
      <c r="HE29" s="700"/>
      <c r="HF29" s="1517"/>
      <c r="HG29" s="1518"/>
      <c r="HH29" s="1519"/>
      <c r="HI29" s="117"/>
      <c r="HJ29" s="1517"/>
      <c r="HK29" s="1518"/>
      <c r="HL29" s="1519"/>
      <c r="HM29" s="700"/>
      <c r="HN29" s="1517"/>
      <c r="HO29" s="1518"/>
      <c r="HP29" s="1519"/>
      <c r="HQ29" s="117"/>
      <c r="HR29" s="1435"/>
      <c r="HS29" s="1436"/>
      <c r="HT29" s="1437"/>
      <c r="HU29" s="700"/>
      <c r="HV29" s="1517"/>
      <c r="HW29" s="1518"/>
      <c r="HX29" s="1519"/>
      <c r="HY29" s="117"/>
      <c r="HZ29" s="1435"/>
      <c r="IA29" s="1436"/>
      <c r="IB29" s="1437"/>
      <c r="IC29" s="113"/>
      <c r="ID29" s="1517"/>
      <c r="IE29" s="1518"/>
      <c r="IF29" s="1519"/>
      <c r="IG29" s="117"/>
      <c r="IH29" s="1435"/>
      <c r="II29" s="1436"/>
      <c r="IJ29" s="1437"/>
      <c r="IK29" s="113"/>
      <c r="IL29" s="1517"/>
      <c r="IM29" s="1518"/>
      <c r="IN29" s="1519"/>
      <c r="IO29" s="117"/>
      <c r="IP29" s="1435"/>
      <c r="IQ29" s="1436"/>
      <c r="IR29" s="1437"/>
      <c r="IS29" s="203"/>
      <c r="IT29" s="1436"/>
      <c r="IU29" s="1437"/>
      <c r="IV29" s="1436"/>
      <c r="IW29" s="1542"/>
      <c r="IX29" s="1435"/>
      <c r="IY29" s="1436"/>
      <c r="IZ29" s="1437"/>
      <c r="JA29" s="203"/>
      <c r="JB29" s="1436"/>
      <c r="JC29" s="1437"/>
      <c r="JD29" s="1436"/>
      <c r="JE29" s="1542"/>
      <c r="JF29" s="1435"/>
      <c r="JG29" s="1436"/>
      <c r="JH29" s="1437"/>
      <c r="JI29" s="203"/>
      <c r="JJ29" s="1435"/>
      <c r="JK29" s="1436"/>
      <c r="JL29" s="1437"/>
      <c r="JM29" s="119"/>
      <c r="JN29" s="1435"/>
      <c r="JO29" s="1436"/>
      <c r="JP29" s="1437"/>
    </row>
    <row r="30" spans="1:276" ht="25.5" customHeight="1" x14ac:dyDescent="0.3">
      <c r="A30" s="102" t="s">
        <v>5</v>
      </c>
      <c r="B30" s="101">
        <f>SUM(C30:E30)</f>
        <v>35821527.25999999</v>
      </c>
      <c r="C30" s="1424">
        <f t="shared" ref="C30:E31" si="95">N30-AD30-V30</f>
        <v>35821527.25999999</v>
      </c>
      <c r="D30" s="1424">
        <f t="shared" si="95"/>
        <v>0</v>
      </c>
      <c r="E30" s="1424">
        <f t="shared" si="95"/>
        <v>0</v>
      </c>
      <c r="F30" s="101">
        <f>SUM(G30:I30)</f>
        <v>2568051.5799999982</v>
      </c>
      <c r="G30" s="1424">
        <f t="shared" ref="G30:I31" si="96">R30-AH30-Z30</f>
        <v>2568051.5799999982</v>
      </c>
      <c r="H30" s="1424">
        <f t="shared" si="96"/>
        <v>0</v>
      </c>
      <c r="I30" s="1424">
        <f t="shared" si="96"/>
        <v>0</v>
      </c>
      <c r="J30" s="105"/>
      <c r="K30" s="1421">
        <f>M30-'Федеральные  средства  по  МО'!D31</f>
        <v>0</v>
      </c>
      <c r="L30" s="1421">
        <f>Q30-'Федеральные  средства  по  МО'!E31</f>
        <v>0</v>
      </c>
      <c r="M30" s="101">
        <f t="shared" ref="M30:M31" si="97">AC30+AK30+AS30+BA30+BI30+BQ30+BY30+CG30+CO30+CW30+DE30+DM30+DU30+EC30+EK30+FA30+FI30+FQ30+FY30+GG30+GO30+GW30+HE30+HM30+HU30+IC30+IK30+IS30+JA30+JI30+ES30+U30</f>
        <v>80986480.819999993</v>
      </c>
      <c r="N30" s="1424">
        <f t="shared" ref="N30:N31" si="98">AD30+AL30+AT30+BB30+BJ30+BR30+BZ30+CH30+CP30+CX30+DF30+DN30+DV30+ED30+EL30+FB30+FJ30+FR30+FZ30+GH30+GP30+GX30+HF30+HN30+HV30+ID30+IL30+IT30+JB30+JJ30+ET30+V30</f>
        <v>80986480.819999993</v>
      </c>
      <c r="O30" s="1424">
        <f t="shared" ref="O30:O31" si="99">AE30+AM30+AU30+BC30+BK30+BS30+CA30+CI30+CQ30+CY30+DG30+DO30+DW30+EE30+EM30+FC30+FK30+FS30+GA30+GI30+GQ30+GY30+HG30+HO30+HW30+IE30+IM30+IU30+JC30+JK30+EU30+W30</f>
        <v>0</v>
      </c>
      <c r="P30" s="1424">
        <f t="shared" ref="P30:P31" si="100">AF30+AN30+AV30+BD30+BL30+BT30+CB30+CJ30+CR30+CZ30+DH30+DP30+DX30+EF30+EN30+FD30+FL30+FT30+GB30+GJ30+GR30+GZ30+HH30+HP30+HX30+IF30+IN30+IV30+JD30+JL30+EV30+X30</f>
        <v>0</v>
      </c>
      <c r="Q30" s="101">
        <f t="shared" ref="Q30:Q31" si="101">AG30+AO30+AW30+BE30+BM30+BU30+CC30+CK30+CS30+DA30+DI30+DQ30+DY30+EG30+EO30+FE30+FM30+FU30+GC30+GK30+GS30+HA30+HI30+HQ30+HY30+IG30+IO30+IW30+JE30+JM30+EW30+Y30</f>
        <v>25619423.129999995</v>
      </c>
      <c r="R30" s="1424">
        <f t="shared" ref="R30:R31" si="102">AH30+AP30+AX30+BF30+BN30+BV30+CD30+CL30+CT30+DB30+DJ30+DR30+DZ30+EH30+EP30+FF30+FN30+FV30+GD30+GL30+GT30+HB30+HJ30+HR30+HZ30+IH30+IP30+IX30+JF30+JN30+EX30+Z30</f>
        <v>25619423.129999995</v>
      </c>
      <c r="S30" s="1424">
        <f t="shared" ref="S30:S31" si="103">AI30+AQ30+AY30+BG30+BO30+BW30+CE30+CM30+CU30+DC30+DK30+DS30+EA30+EI30+EQ30+FG30+FO30+FW30+GE30+GM30+GU30+HC30+HK30+HS30+IA30+II30+IQ30+IY30+JG30+JO30+EY30+AA30</f>
        <v>0</v>
      </c>
      <c r="T30" s="1424">
        <f t="shared" ref="T30:T31" si="104">AJ30+AR30+AZ30+BH30+BP30+BX30+CF30+CN30+CV30+DD30+DL30+DT30+EB30+EJ30+ER30+FH30+FP30+FX30+GF30+GN30+GV30+HD30+HL30+HT30+IB30+IJ30+IR30+IZ30+JH30+JP30+EZ30+AB30</f>
        <v>0</v>
      </c>
      <c r="U30" s="103">
        <f>'Федеральные  средства  по  МО'!F31</f>
        <v>0</v>
      </c>
      <c r="V30" s="1424">
        <f t="shared" ref="V30:V31" si="105">U30</f>
        <v>0</v>
      </c>
      <c r="W30" s="1426"/>
      <c r="X30" s="1424"/>
      <c r="Y30" s="101">
        <f>'Федеральные  средства  по  МО'!G31</f>
        <v>0</v>
      </c>
      <c r="Z30" s="1426">
        <f t="shared" ref="Z30:Z31" si="106">Y30</f>
        <v>0</v>
      </c>
      <c r="AA30" s="1424"/>
      <c r="AB30" s="1425"/>
      <c r="AC30" s="103">
        <f>'Федеральные  средства  по  МО'!H31</f>
        <v>45164953.560000002</v>
      </c>
      <c r="AD30" s="1424">
        <f>AC30</f>
        <v>45164953.560000002</v>
      </c>
      <c r="AE30" s="1426"/>
      <c r="AF30" s="1424"/>
      <c r="AG30" s="100">
        <f>'Федеральные  средства  по  МО'!I31</f>
        <v>23051371.549999997</v>
      </c>
      <c r="AH30" s="1424">
        <f>AG30</f>
        <v>23051371.549999997</v>
      </c>
      <c r="AI30" s="1424"/>
      <c r="AJ30" s="1425"/>
      <c r="AK30" s="101">
        <f>'Федеральные  средства  по  МО'!J31</f>
        <v>0</v>
      </c>
      <c r="AL30" s="1424">
        <f>AK30</f>
        <v>0</v>
      </c>
      <c r="AM30" s="1426"/>
      <c r="AN30" s="1423"/>
      <c r="AO30" s="101">
        <f>'Федеральные  средства  по  МО'!K31</f>
        <v>0</v>
      </c>
      <c r="AP30" s="1424">
        <f>AO30</f>
        <v>0</v>
      </c>
      <c r="AQ30" s="1424"/>
      <c r="AR30" s="1425"/>
      <c r="AS30" s="103">
        <f>'Федеральные  средства  по  МО'!L31</f>
        <v>0</v>
      </c>
      <c r="AT30" s="1424">
        <f>AS30</f>
        <v>0</v>
      </c>
      <c r="AU30" s="1424"/>
      <c r="AV30" s="1426"/>
      <c r="AW30" s="101">
        <f>'Федеральные  средства  по  МО'!M31</f>
        <v>0</v>
      </c>
      <c r="AX30" s="1424">
        <f>AW30</f>
        <v>0</v>
      </c>
      <c r="AY30" s="1426"/>
      <c r="AZ30" s="1424"/>
      <c r="BA30" s="104">
        <f>'Федеральные  средства  по  МО'!N31</f>
        <v>0</v>
      </c>
      <c r="BB30" s="1424">
        <f>BA30</f>
        <v>0</v>
      </c>
      <c r="BC30" s="1426"/>
      <c r="BD30" s="1424"/>
      <c r="BE30" s="101">
        <f>'Федеральные  средства  по  МО'!O31</f>
        <v>0</v>
      </c>
      <c r="BF30" s="1424">
        <f>BE30</f>
        <v>0</v>
      </c>
      <c r="BG30" s="1424"/>
      <c r="BH30" s="1425"/>
      <c r="BI30" s="101">
        <f>'[4]Проверочная  таблица'!EU32</f>
        <v>0</v>
      </c>
      <c r="BJ30" s="1424">
        <f>BI30</f>
        <v>0</v>
      </c>
      <c r="BK30" s="1424"/>
      <c r="BL30" s="1425"/>
      <c r="BM30" s="103">
        <f>'[4]Проверочная  таблица'!EX32</f>
        <v>0</v>
      </c>
      <c r="BN30" s="1424">
        <f>BM30</f>
        <v>0</v>
      </c>
      <c r="BO30" s="1424"/>
      <c r="BP30" s="1425"/>
      <c r="BQ30" s="103">
        <f>'Федеральные  средства  по  МО'!R31</f>
        <v>0</v>
      </c>
      <c r="BR30" s="1424">
        <f>BQ30</f>
        <v>0</v>
      </c>
      <c r="BS30" s="1424"/>
      <c r="BT30" s="1425"/>
      <c r="BU30" s="101">
        <f>'Федеральные  средства  по  МО'!S31</f>
        <v>0</v>
      </c>
      <c r="BV30" s="1424">
        <f>BU30</f>
        <v>0</v>
      </c>
      <c r="BW30" s="1424"/>
      <c r="BX30" s="1425"/>
      <c r="BY30" s="103">
        <f>'Федеральные  средства  по  МО'!T31</f>
        <v>0</v>
      </c>
      <c r="BZ30" s="1424">
        <f>BY30</f>
        <v>0</v>
      </c>
      <c r="CA30" s="1426"/>
      <c r="CB30" s="1424"/>
      <c r="CC30" s="100">
        <f>'Федеральные  средства  по  МО'!U31</f>
        <v>0</v>
      </c>
      <c r="CD30" s="1424">
        <f>CC30</f>
        <v>0</v>
      </c>
      <c r="CE30" s="1424"/>
      <c r="CF30" s="1425"/>
      <c r="CG30" s="103">
        <f>'Федеральные  средства  по  МО'!V31</f>
        <v>0</v>
      </c>
      <c r="CH30" s="1424">
        <f>CG30</f>
        <v>0</v>
      </c>
      <c r="CI30" s="1424"/>
      <c r="CJ30" s="1425"/>
      <c r="CK30" s="101">
        <f>'Федеральные  средства  по  МО'!W31</f>
        <v>0</v>
      </c>
      <c r="CL30" s="1424">
        <f>CK30</f>
        <v>0</v>
      </c>
      <c r="CM30" s="1424"/>
      <c r="CN30" s="1425"/>
      <c r="CO30" s="103">
        <f>'Федеральные  средства  по  МО'!X31</f>
        <v>0</v>
      </c>
      <c r="CP30" s="1424">
        <f>CO30</f>
        <v>0</v>
      </c>
      <c r="CQ30" s="1424"/>
      <c r="CR30" s="1425"/>
      <c r="CS30" s="101">
        <f>'Федеральные  средства  по  МО'!Y31</f>
        <v>0</v>
      </c>
      <c r="CT30" s="1424">
        <f>CS30</f>
        <v>0</v>
      </c>
      <c r="CU30" s="1424"/>
      <c r="CV30" s="1425"/>
      <c r="CW30" s="103">
        <f>'Федеральные  средства  по  МО'!Z31</f>
        <v>0</v>
      </c>
      <c r="CX30" s="1424">
        <f>CW30</f>
        <v>0</v>
      </c>
      <c r="CY30" s="1424"/>
      <c r="CZ30" s="1425"/>
      <c r="DA30" s="101">
        <f>'Федеральные  средства  по  МО'!AA31</f>
        <v>0</v>
      </c>
      <c r="DB30" s="1424">
        <f>DA30</f>
        <v>0</v>
      </c>
      <c r="DC30" s="1424"/>
      <c r="DD30" s="1425"/>
      <c r="DE30" s="103">
        <f>'Федеральные  средства  по  МО'!AB31</f>
        <v>0</v>
      </c>
      <c r="DF30" s="1424">
        <f>DE30</f>
        <v>0</v>
      </c>
      <c r="DG30" s="1424"/>
      <c r="DH30" s="1426"/>
      <c r="DI30" s="101">
        <f>'Федеральные  средства  по  МО'!AC31</f>
        <v>0</v>
      </c>
      <c r="DJ30" s="1424">
        <f>DI30</f>
        <v>0</v>
      </c>
      <c r="DK30" s="1424"/>
      <c r="DL30" s="1425"/>
      <c r="DM30" s="103">
        <f>'Федеральные  средства  по  МО'!AD31</f>
        <v>0</v>
      </c>
      <c r="DN30" s="1424">
        <f>DM30</f>
        <v>0</v>
      </c>
      <c r="DO30" s="1424"/>
      <c r="DP30" s="1426"/>
      <c r="DQ30" s="101">
        <f>'Федеральные  средства  по  МО'!AE31</f>
        <v>0</v>
      </c>
      <c r="DR30" s="1424">
        <f>DQ30</f>
        <v>0</v>
      </c>
      <c r="DS30" s="1424"/>
      <c r="DT30" s="1425"/>
      <c r="DU30" s="103">
        <f>'Федеральные  средства  по  МО'!AF31</f>
        <v>1181027.26</v>
      </c>
      <c r="DV30" s="1424">
        <f>DU30</f>
        <v>1181027.26</v>
      </c>
      <c r="DW30" s="1424"/>
      <c r="DX30" s="1426"/>
      <c r="DY30" s="101">
        <f>'Федеральные  средства  по  МО'!AG31</f>
        <v>0</v>
      </c>
      <c r="DZ30" s="1424">
        <f>DY30</f>
        <v>0</v>
      </c>
      <c r="EA30" s="1424"/>
      <c r="EB30" s="1425"/>
      <c r="EC30" s="103">
        <f>'Федеральные  средства  по  МО'!AH31</f>
        <v>0</v>
      </c>
      <c r="ED30" s="1424">
        <f>EC30</f>
        <v>0</v>
      </c>
      <c r="EE30" s="1424"/>
      <c r="EF30" s="1425"/>
      <c r="EG30" s="101">
        <f>'Федеральные  средства  по  МО'!AI31</f>
        <v>0</v>
      </c>
      <c r="EH30" s="1424">
        <f>EG30</f>
        <v>0</v>
      </c>
      <c r="EI30" s="1424"/>
      <c r="EJ30" s="1425"/>
      <c r="EK30" s="101">
        <f>'Федеральные  средства  по  МО'!AJ31</f>
        <v>0</v>
      </c>
      <c r="EL30" s="1424">
        <f>EK30</f>
        <v>0</v>
      </c>
      <c r="EM30" s="1424"/>
      <c r="EN30" s="1425"/>
      <c r="EO30" s="101">
        <f>'Федеральные  средства  по  МО'!AK31</f>
        <v>0</v>
      </c>
      <c r="EP30" s="1424">
        <f>EO30</f>
        <v>0</v>
      </c>
      <c r="EQ30" s="1424"/>
      <c r="ER30" s="1425"/>
      <c r="ES30" s="103">
        <f>'Федеральные  средства  по  МО'!AL31</f>
        <v>0</v>
      </c>
      <c r="ET30" s="1424">
        <f t="shared" ref="ET30:ET31" si="107">ES30</f>
        <v>0</v>
      </c>
      <c r="EU30" s="1426"/>
      <c r="EV30" s="1424"/>
      <c r="EW30" s="100">
        <f>'Федеральные  средства  по  МО'!AM31</f>
        <v>0</v>
      </c>
      <c r="EX30" s="1425">
        <f t="shared" ref="EX30:EX31" si="108">EW30</f>
        <v>0</v>
      </c>
      <c r="EY30" s="1424"/>
      <c r="EZ30" s="1425"/>
      <c r="FA30" s="103">
        <f>'Федеральные  средства  по  МО'!AN31</f>
        <v>4084000</v>
      </c>
      <c r="FB30" s="1424">
        <f>FA30</f>
        <v>4084000</v>
      </c>
      <c r="FC30" s="1426"/>
      <c r="FD30" s="1424"/>
      <c r="FE30" s="100">
        <f>'Федеральные  средства  по  МО'!AO31</f>
        <v>2568051.58</v>
      </c>
      <c r="FF30" s="1424">
        <f>FE30</f>
        <v>2568051.58</v>
      </c>
      <c r="FG30" s="1424"/>
      <c r="FH30" s="1424"/>
      <c r="FI30" s="103">
        <f>'Федеральные  средства  по  МО'!AP31</f>
        <v>0</v>
      </c>
      <c r="FJ30" s="1424">
        <f>FI30</f>
        <v>0</v>
      </c>
      <c r="FK30" s="1424"/>
      <c r="FL30" s="1425"/>
      <c r="FM30" s="100">
        <f>'Федеральные  средства  по  МО'!AQ31</f>
        <v>0</v>
      </c>
      <c r="FN30" s="1424">
        <f>FM30</f>
        <v>0</v>
      </c>
      <c r="FO30" s="1424"/>
      <c r="FP30" s="1426"/>
      <c r="FQ30" s="1528">
        <f>'Федеральные  средства  по  МО'!AR31</f>
        <v>0</v>
      </c>
      <c r="FR30" s="1424">
        <f>FQ30</f>
        <v>0</v>
      </c>
      <c r="FS30" s="1530"/>
      <c r="FT30" s="1424"/>
      <c r="FU30" s="100">
        <f>'Федеральные  средства  по  МО'!AS31</f>
        <v>0</v>
      </c>
      <c r="FV30" s="1424">
        <f>FU30</f>
        <v>0</v>
      </c>
      <c r="FW30" s="1424"/>
      <c r="FX30" s="1426"/>
      <c r="FY30" s="101">
        <f>'Федеральные  средства  по  МО'!AT31</f>
        <v>0</v>
      </c>
      <c r="FZ30" s="1424">
        <f>FY30</f>
        <v>0</v>
      </c>
      <c r="GA30" s="1424"/>
      <c r="GB30" s="1425"/>
      <c r="GC30" s="104">
        <f>'Федеральные  средства  по  МО'!AU31</f>
        <v>0</v>
      </c>
      <c r="GD30" s="1424">
        <f>GC30</f>
        <v>0</v>
      </c>
      <c r="GE30" s="1424"/>
      <c r="GF30" s="1425"/>
      <c r="GG30" s="103">
        <f>'Федеральные  средства  по  МО'!AV31</f>
        <v>0</v>
      </c>
      <c r="GH30" s="1424">
        <f>GG30</f>
        <v>0</v>
      </c>
      <c r="GI30" s="1424"/>
      <c r="GJ30" s="1425"/>
      <c r="GK30" s="101">
        <f>'Федеральные  средства  по  МО'!AW31</f>
        <v>0</v>
      </c>
      <c r="GL30" s="1424">
        <f>GK30</f>
        <v>0</v>
      </c>
      <c r="GM30" s="1424"/>
      <c r="GN30" s="1425"/>
      <c r="GO30" s="103">
        <f>'Федеральные  средства  по  МО'!AX31</f>
        <v>0</v>
      </c>
      <c r="GP30" s="1424">
        <f>GO30</f>
        <v>0</v>
      </c>
      <c r="GQ30" s="1424"/>
      <c r="GR30" s="1425"/>
      <c r="GS30" s="103">
        <f>'Федеральные  средства  по  МО'!AY31</f>
        <v>0</v>
      </c>
      <c r="GT30" s="1424">
        <f>GS30</f>
        <v>0</v>
      </c>
      <c r="GU30" s="1426"/>
      <c r="GV30" s="1424"/>
      <c r="GW30" s="104">
        <f>'Федеральные  средства  по  МО'!AZ31</f>
        <v>0</v>
      </c>
      <c r="GX30" s="1424">
        <f>GW30</f>
        <v>0</v>
      </c>
      <c r="GY30" s="1426"/>
      <c r="GZ30" s="1424"/>
      <c r="HA30" s="100">
        <f>'Федеральные  средства  по  МО'!BA31</f>
        <v>0</v>
      </c>
      <c r="HB30" s="1424">
        <f>HA30</f>
        <v>0</v>
      </c>
      <c r="HC30" s="1424"/>
      <c r="HD30" s="1425"/>
      <c r="HE30" s="103">
        <f>'Федеральные  средства  по  МО'!BB31</f>
        <v>0</v>
      </c>
      <c r="HF30" s="1424">
        <f>HE30</f>
        <v>0</v>
      </c>
      <c r="HG30" s="1424"/>
      <c r="HH30" s="1425"/>
      <c r="HI30" s="101">
        <f>'Федеральные  средства  по  МО'!BC31</f>
        <v>0</v>
      </c>
      <c r="HJ30" s="1424">
        <f>HI30</f>
        <v>0</v>
      </c>
      <c r="HK30" s="1424"/>
      <c r="HL30" s="1425"/>
      <c r="HM30" s="101">
        <f>'Федеральные  средства  по  МО'!BD31</f>
        <v>0</v>
      </c>
      <c r="HN30" s="1424">
        <f>HM30</f>
        <v>0</v>
      </c>
      <c r="HO30" s="1424"/>
      <c r="HP30" s="1425"/>
      <c r="HQ30" s="101">
        <f>'Федеральные  средства  по  МО'!BE31</f>
        <v>0</v>
      </c>
      <c r="HR30" s="1424">
        <f>HQ30</f>
        <v>0</v>
      </c>
      <c r="HS30" s="1424"/>
      <c r="HT30" s="1425"/>
      <c r="HU30" s="103">
        <f>'Федеральные  средства  по  МО'!BF31</f>
        <v>30556500</v>
      </c>
      <c r="HV30" s="1424">
        <f>HU30</f>
        <v>30556500</v>
      </c>
      <c r="HW30" s="1424"/>
      <c r="HX30" s="1425"/>
      <c r="HY30" s="100">
        <f>'Федеральные  средства  по  МО'!BG31</f>
        <v>0</v>
      </c>
      <c r="HZ30" s="1424">
        <f>HY30</f>
        <v>0</v>
      </c>
      <c r="IA30" s="1424"/>
      <c r="IB30" s="1426"/>
      <c r="IC30" s="101">
        <f>'Федеральные  средства  по  МО'!BJ31</f>
        <v>0</v>
      </c>
      <c r="ID30" s="1424">
        <f>IC30</f>
        <v>0</v>
      </c>
      <c r="IE30" s="1424"/>
      <c r="IF30" s="1425"/>
      <c r="IG30" s="100">
        <f>'Федеральные  средства  по  МО'!BK31</f>
        <v>0</v>
      </c>
      <c r="IH30" s="1424">
        <f>IG30</f>
        <v>0</v>
      </c>
      <c r="II30" s="1424"/>
      <c r="IJ30" s="1425"/>
      <c r="IK30" s="103">
        <f>'Федеральные  средства  по  МО'!BN31</f>
        <v>0</v>
      </c>
      <c r="IL30" s="1424">
        <f>IK30</f>
        <v>0</v>
      </c>
      <c r="IM30" s="1424"/>
      <c r="IN30" s="1425"/>
      <c r="IO30" s="101">
        <f>'Федеральные  средства  по  МО'!BO31</f>
        <v>0</v>
      </c>
      <c r="IP30" s="1424">
        <f>IO30</f>
        <v>0</v>
      </c>
      <c r="IQ30" s="1424"/>
      <c r="IR30" s="1426"/>
      <c r="IS30" s="103">
        <f>'Федеральные  средства  по  МО'!BH31</f>
        <v>0</v>
      </c>
      <c r="IT30" s="1424">
        <f>IS30</f>
        <v>0</v>
      </c>
      <c r="IU30" s="1426"/>
      <c r="IV30" s="1424"/>
      <c r="IW30" s="100">
        <f>'Федеральные  средства  по  МО'!BI31</f>
        <v>0</v>
      </c>
      <c r="IX30" s="1424">
        <f>IW30</f>
        <v>0</v>
      </c>
      <c r="IY30" s="1424"/>
      <c r="IZ30" s="1425"/>
      <c r="JA30" s="103">
        <f>'Федеральные  средства  по  МО'!BP31</f>
        <v>0</v>
      </c>
      <c r="JB30" s="1424">
        <f>JA30</f>
        <v>0</v>
      </c>
      <c r="JC30" s="1426"/>
      <c r="JD30" s="1424"/>
      <c r="JE30" s="100">
        <f>'Федеральные  средства  по  МО'!BQ31</f>
        <v>0</v>
      </c>
      <c r="JF30" s="1424">
        <f>JE30</f>
        <v>0</v>
      </c>
      <c r="JG30" s="1424"/>
      <c r="JH30" s="1425"/>
      <c r="JI30" s="103">
        <f>'Федеральные  средства  по  МО'!BL31</f>
        <v>0</v>
      </c>
      <c r="JJ30" s="1424">
        <f>JI30</f>
        <v>0</v>
      </c>
      <c r="JK30" s="1426"/>
      <c r="JL30" s="1424"/>
      <c r="JM30" s="100">
        <f>'Федеральные  средства  по  МО'!BM31</f>
        <v>0</v>
      </c>
      <c r="JN30" s="1424">
        <f>JM30</f>
        <v>0</v>
      </c>
      <c r="JO30" s="1424"/>
      <c r="JP30" s="1425"/>
    </row>
    <row r="31" spans="1:276" ht="25.5" customHeight="1" thickBot="1" x14ac:dyDescent="0.35">
      <c r="A31" s="105" t="s">
        <v>6</v>
      </c>
      <c r="B31" s="277">
        <f>SUM(C31:E31)</f>
        <v>1525921347.28</v>
      </c>
      <c r="C31" s="1422">
        <f t="shared" si="95"/>
        <v>1525921347.28</v>
      </c>
      <c r="D31" s="1422">
        <f t="shared" si="95"/>
        <v>0</v>
      </c>
      <c r="E31" s="1422">
        <f t="shared" si="95"/>
        <v>0</v>
      </c>
      <c r="F31" s="277">
        <f>SUM(G31:I31)</f>
        <v>419896466.42000002</v>
      </c>
      <c r="G31" s="1422">
        <f t="shared" si="96"/>
        <v>419896466.42000002</v>
      </c>
      <c r="H31" s="1422">
        <f t="shared" si="96"/>
        <v>0</v>
      </c>
      <c r="I31" s="1422">
        <f t="shared" si="96"/>
        <v>0</v>
      </c>
      <c r="J31" s="105"/>
      <c r="K31" s="1421">
        <f>M31-'Федеральные  средства  по  МО'!D32</f>
        <v>0</v>
      </c>
      <c r="L31" s="1421">
        <f>Q31-'Федеральные  средства  по  МО'!E32</f>
        <v>0</v>
      </c>
      <c r="M31" s="277">
        <f t="shared" si="97"/>
        <v>1881582207.8199999</v>
      </c>
      <c r="N31" s="1422">
        <f t="shared" si="98"/>
        <v>1881582207.8199999</v>
      </c>
      <c r="O31" s="1422">
        <f t="shared" si="99"/>
        <v>0</v>
      </c>
      <c r="P31" s="1422">
        <f t="shared" si="100"/>
        <v>0</v>
      </c>
      <c r="Q31" s="277">
        <f t="shared" si="101"/>
        <v>654998779.33000004</v>
      </c>
      <c r="R31" s="1422">
        <f t="shared" si="102"/>
        <v>654998779.33000004</v>
      </c>
      <c r="S31" s="1422">
        <f t="shared" si="103"/>
        <v>0</v>
      </c>
      <c r="T31" s="1422">
        <f t="shared" si="104"/>
        <v>0</v>
      </c>
      <c r="U31" s="103">
        <f>'Федеральные  средства  по  МО'!F32</f>
        <v>711188.46</v>
      </c>
      <c r="V31" s="1424">
        <f t="shared" si="105"/>
        <v>711188.46</v>
      </c>
      <c r="W31" s="1426"/>
      <c r="X31" s="1424"/>
      <c r="Y31" s="101">
        <f>'Федеральные  средства  по  МО'!G32</f>
        <v>711188.46</v>
      </c>
      <c r="Z31" s="1426">
        <f t="shared" si="106"/>
        <v>711188.46</v>
      </c>
      <c r="AA31" s="1424"/>
      <c r="AB31" s="1425"/>
      <c r="AC31" s="108">
        <f>'Федеральные  средства  по  МО'!H32</f>
        <v>354949672.07999998</v>
      </c>
      <c r="AD31" s="1424">
        <f>AC31</f>
        <v>354949672.07999998</v>
      </c>
      <c r="AE31" s="1428"/>
      <c r="AF31" s="1427"/>
      <c r="AG31" s="491">
        <f>'Федеральные  средства  по  МО'!I32</f>
        <v>234391124.45000002</v>
      </c>
      <c r="AH31" s="1424">
        <f>AG31</f>
        <v>234391124.45000002</v>
      </c>
      <c r="AI31" s="1424"/>
      <c r="AJ31" s="1425"/>
      <c r="AK31" s="101">
        <f>'Федеральные  средства  по  МО'!J32</f>
        <v>611225000</v>
      </c>
      <c r="AL31" s="1424">
        <f>AK31</f>
        <v>611225000</v>
      </c>
      <c r="AM31" s="1426"/>
      <c r="AN31" s="1423"/>
      <c r="AO31" s="101">
        <f>'Федеральные  средства  по  МО'!K32</f>
        <v>132242687.39</v>
      </c>
      <c r="AP31" s="1424">
        <f>AO31</f>
        <v>132242687.39</v>
      </c>
      <c r="AQ31" s="1424"/>
      <c r="AR31" s="1425"/>
      <c r="AS31" s="1521">
        <f>'Федеральные  средства  по  МО'!L32</f>
        <v>0</v>
      </c>
      <c r="AT31" s="1424">
        <f>AS31</f>
        <v>0</v>
      </c>
      <c r="AU31" s="1422"/>
      <c r="AV31" s="1532"/>
      <c r="AW31" s="277">
        <f>'Федеральные  средства  по  МО'!M32</f>
        <v>0</v>
      </c>
      <c r="AX31" s="1424">
        <f>AW31</f>
        <v>0</v>
      </c>
      <c r="AY31" s="1532"/>
      <c r="AZ31" s="1422"/>
      <c r="BA31" s="1521">
        <f>'Федеральные  средства  по  МО'!N32</f>
        <v>0</v>
      </c>
      <c r="BB31" s="1424">
        <f>BA31</f>
        <v>0</v>
      </c>
      <c r="BC31" s="1532"/>
      <c r="BD31" s="1422"/>
      <c r="BE31" s="699">
        <f>'Федеральные  средства  по  МО'!O32</f>
        <v>0</v>
      </c>
      <c r="BF31" s="1424">
        <f>BE31</f>
        <v>0</v>
      </c>
      <c r="BG31" s="1424"/>
      <c r="BH31" s="1425"/>
      <c r="BI31" s="101">
        <f>'[4]Проверочная  таблица'!EU33</f>
        <v>0</v>
      </c>
      <c r="BJ31" s="1424">
        <f>BI31</f>
        <v>0</v>
      </c>
      <c r="BK31" s="1424"/>
      <c r="BL31" s="1425"/>
      <c r="BM31" s="103">
        <f>'[4]Проверочная  таблица'!EX33</f>
        <v>0</v>
      </c>
      <c r="BN31" s="1424">
        <f>BM31</f>
        <v>0</v>
      </c>
      <c r="BO31" s="1424"/>
      <c r="BP31" s="1425"/>
      <c r="BQ31" s="699">
        <f>'Федеральные  средства  по  МО'!R32</f>
        <v>0</v>
      </c>
      <c r="BR31" s="1424">
        <f>BQ31</f>
        <v>0</v>
      </c>
      <c r="BS31" s="1422"/>
      <c r="BT31" s="1522"/>
      <c r="BU31" s="699">
        <f>'Федеральные  средства  по  МО'!S32</f>
        <v>0</v>
      </c>
      <c r="BV31" s="1424">
        <f>BU31</f>
        <v>0</v>
      </c>
      <c r="BW31" s="1424"/>
      <c r="BX31" s="1425"/>
      <c r="BY31" s="699">
        <f>'Федеральные  средства  по  МО'!T32</f>
        <v>0</v>
      </c>
      <c r="BZ31" s="1424">
        <f>BY31</f>
        <v>0</v>
      </c>
      <c r="CA31" s="1532"/>
      <c r="CB31" s="1422"/>
      <c r="CC31" s="1229">
        <f>'Федеральные  средства  по  МО'!U32</f>
        <v>0</v>
      </c>
      <c r="CD31" s="1424">
        <f>CC31</f>
        <v>0</v>
      </c>
      <c r="CE31" s="1424"/>
      <c r="CF31" s="1425"/>
      <c r="CG31" s="699">
        <f>'Федеральные  средства  по  МО'!V32</f>
        <v>25000000</v>
      </c>
      <c r="CH31" s="1424">
        <f>CG31</f>
        <v>25000000</v>
      </c>
      <c r="CI31" s="1422"/>
      <c r="CJ31" s="1522"/>
      <c r="CK31" s="277">
        <f>'Федеральные  средства  по  МО'!W32</f>
        <v>1371134.02</v>
      </c>
      <c r="CL31" s="1424">
        <f>CK31</f>
        <v>1371134.02</v>
      </c>
      <c r="CM31" s="1424"/>
      <c r="CN31" s="1425"/>
      <c r="CO31" s="699">
        <f>'Федеральные  средства  по  МО'!X32</f>
        <v>0</v>
      </c>
      <c r="CP31" s="1424">
        <f>CO31</f>
        <v>0</v>
      </c>
      <c r="CQ31" s="1422"/>
      <c r="CR31" s="1522"/>
      <c r="CS31" s="277">
        <f>'Федеральные  средства  по  МО'!Y32</f>
        <v>0</v>
      </c>
      <c r="CT31" s="1424">
        <f>CS31</f>
        <v>0</v>
      </c>
      <c r="CU31" s="1424"/>
      <c r="CV31" s="1425"/>
      <c r="CW31" s="699">
        <f>'Федеральные  средства  по  МО'!Z32</f>
        <v>454752300</v>
      </c>
      <c r="CX31" s="1424">
        <f>CW31</f>
        <v>454752300</v>
      </c>
      <c r="CY31" s="1535"/>
      <c r="CZ31" s="1522"/>
      <c r="DA31" s="277">
        <f>'Федеральные  средства  по  МО'!AA32</f>
        <v>145774205.91999999</v>
      </c>
      <c r="DB31" s="1424">
        <f>DA31</f>
        <v>145774205.91999999</v>
      </c>
      <c r="DC31" s="1424"/>
      <c r="DD31" s="1425"/>
      <c r="DE31" s="699">
        <f>'Федеральные  средства  по  МО'!AB32</f>
        <v>0</v>
      </c>
      <c r="DF31" s="1424">
        <f>DE31</f>
        <v>0</v>
      </c>
      <c r="DG31" s="1422"/>
      <c r="DH31" s="1532"/>
      <c r="DI31" s="277">
        <f>'Федеральные  средства  по  МО'!AC32</f>
        <v>0</v>
      </c>
      <c r="DJ31" s="1424">
        <f>DI31</f>
        <v>0</v>
      </c>
      <c r="DK31" s="1424"/>
      <c r="DL31" s="1425"/>
      <c r="DM31" s="699">
        <f>'Федеральные  средства  по  МО'!AD32</f>
        <v>0</v>
      </c>
      <c r="DN31" s="1424">
        <f>DM31</f>
        <v>0</v>
      </c>
      <c r="DO31" s="1422"/>
      <c r="DP31" s="1532"/>
      <c r="DQ31" s="277">
        <f>'Федеральные  средства  по  МО'!AE32</f>
        <v>0</v>
      </c>
      <c r="DR31" s="1424">
        <f>DQ31</f>
        <v>0</v>
      </c>
      <c r="DS31" s="1424"/>
      <c r="DT31" s="1425"/>
      <c r="DU31" s="699">
        <f>'Федеральные  средства  по  МО'!AF32</f>
        <v>119939.99</v>
      </c>
      <c r="DV31" s="1424">
        <f>DU31</f>
        <v>119939.99</v>
      </c>
      <c r="DW31" s="1422"/>
      <c r="DX31" s="1532"/>
      <c r="DY31" s="1541">
        <f>'Федеральные  средства  по  МО'!AG32</f>
        <v>113828.16</v>
      </c>
      <c r="DZ31" s="1424">
        <f>DY31</f>
        <v>113828.16</v>
      </c>
      <c r="EA31" s="1424"/>
      <c r="EB31" s="1425"/>
      <c r="EC31" s="699">
        <f>'Федеральные  средства  по  МО'!AH32</f>
        <v>0</v>
      </c>
      <c r="ED31" s="1424">
        <f>EC31</f>
        <v>0</v>
      </c>
      <c r="EE31" s="1422"/>
      <c r="EF31" s="1522"/>
      <c r="EG31" s="277">
        <f>'Федеральные  средства  по  МО'!AI32</f>
        <v>0</v>
      </c>
      <c r="EH31" s="1424">
        <f>EG31</f>
        <v>0</v>
      </c>
      <c r="EI31" s="1424"/>
      <c r="EJ31" s="1425"/>
      <c r="EK31" s="1229">
        <f>'Федеральные  средства  по  МО'!AJ32</f>
        <v>0</v>
      </c>
      <c r="EL31" s="1424">
        <f>EK31</f>
        <v>0</v>
      </c>
      <c r="EM31" s="1422"/>
      <c r="EN31" s="1522"/>
      <c r="EO31" s="277">
        <f>'Федеральные  средства  по  МО'!AK32</f>
        <v>0</v>
      </c>
      <c r="EP31" s="1424">
        <f>EO31</f>
        <v>0</v>
      </c>
      <c r="EQ31" s="1424"/>
      <c r="ER31" s="1425"/>
      <c r="ES31" s="103">
        <f>'Федеральные  средства  по  МО'!AL32</f>
        <v>24426407.289999999</v>
      </c>
      <c r="ET31" s="1424">
        <f t="shared" si="107"/>
        <v>24426407.289999999</v>
      </c>
      <c r="EU31" s="1426"/>
      <c r="EV31" s="1424"/>
      <c r="EW31" s="100">
        <f>'Федеральные  средства  по  МО'!AM32</f>
        <v>0</v>
      </c>
      <c r="EX31" s="1425">
        <f t="shared" si="108"/>
        <v>0</v>
      </c>
      <c r="EY31" s="1424"/>
      <c r="EZ31" s="1425"/>
      <c r="FA31" s="103">
        <f>'Федеральные  средства  по  МО'!AN32</f>
        <v>0</v>
      </c>
      <c r="FB31" s="1424">
        <f>FA31</f>
        <v>0</v>
      </c>
      <c r="FC31" s="1426"/>
      <c r="FD31" s="1424"/>
      <c r="FE31" s="100">
        <f>'Федеральные  средства  по  МО'!AO32</f>
        <v>0</v>
      </c>
      <c r="FF31" s="1424">
        <f>FE31</f>
        <v>0</v>
      </c>
      <c r="FG31" s="1424"/>
      <c r="FH31" s="1424"/>
      <c r="FI31" s="1521">
        <f>'Федеральные  средства  по  МО'!AP32</f>
        <v>0</v>
      </c>
      <c r="FJ31" s="1424">
        <f>FI31</f>
        <v>0</v>
      </c>
      <c r="FK31" s="1422"/>
      <c r="FL31" s="1522"/>
      <c r="FM31" s="1521">
        <f>'Федеральные  средства  по  МО'!AQ32</f>
        <v>0</v>
      </c>
      <c r="FN31" s="1424">
        <f>FM31</f>
        <v>0</v>
      </c>
      <c r="FO31" s="1424"/>
      <c r="FP31" s="1426"/>
      <c r="FQ31" s="1528">
        <f>'Федеральные  средства  по  МО'!AR32</f>
        <v>0</v>
      </c>
      <c r="FR31" s="1424">
        <f>FQ31</f>
        <v>0</v>
      </c>
      <c r="FS31" s="1530"/>
      <c r="FT31" s="1424"/>
      <c r="FU31" s="100">
        <f>'Федеральные  средства  по  МО'!AS32</f>
        <v>0</v>
      </c>
      <c r="FV31" s="1424">
        <f>FU31</f>
        <v>0</v>
      </c>
      <c r="FW31" s="1424"/>
      <c r="FX31" s="1426"/>
      <c r="FY31" s="277">
        <f>'Федеральные  средства  по  МО'!AT32</f>
        <v>0</v>
      </c>
      <c r="FZ31" s="1424">
        <f>FY31</f>
        <v>0</v>
      </c>
      <c r="GA31" s="1422"/>
      <c r="GB31" s="1522"/>
      <c r="GC31" s="1521">
        <f>'Федеральные  средства  по  МО'!AU32</f>
        <v>0</v>
      </c>
      <c r="GD31" s="1424">
        <f>GC31</f>
        <v>0</v>
      </c>
      <c r="GE31" s="1424"/>
      <c r="GF31" s="1425"/>
      <c r="GG31" s="699">
        <f>'Федеральные  средства  по  МО'!AV32</f>
        <v>0</v>
      </c>
      <c r="GH31" s="1424">
        <f>GG31</f>
        <v>0</v>
      </c>
      <c r="GI31" s="1422"/>
      <c r="GJ31" s="1522"/>
      <c r="GK31" s="277">
        <f>'Федеральные  средства  по  МО'!AW32</f>
        <v>0</v>
      </c>
      <c r="GL31" s="1424">
        <f>GK31</f>
        <v>0</v>
      </c>
      <c r="GM31" s="1424"/>
      <c r="GN31" s="1425"/>
      <c r="GO31" s="699">
        <f>'Федеральные  средства  по  МО'!AX32</f>
        <v>73194500</v>
      </c>
      <c r="GP31" s="1424">
        <f>GO31</f>
        <v>73194500</v>
      </c>
      <c r="GQ31" s="1422"/>
      <c r="GR31" s="1522"/>
      <c r="GS31" s="699">
        <f>'Федеральные  средства  по  МО'!AY32</f>
        <v>73194500</v>
      </c>
      <c r="GT31" s="1424">
        <f>GS31</f>
        <v>73194500</v>
      </c>
      <c r="GU31" s="1532"/>
      <c r="GV31" s="1422"/>
      <c r="GW31" s="1521">
        <f>'Федеральные  средства  по  МО'!AZ32</f>
        <v>35042600</v>
      </c>
      <c r="GX31" s="1424">
        <f>GW31</f>
        <v>35042600</v>
      </c>
      <c r="GY31" s="1532"/>
      <c r="GZ31" s="1422"/>
      <c r="HA31" s="1521">
        <f>'Федеральные  средства  по  МО'!BA32</f>
        <v>9063599.5299999993</v>
      </c>
      <c r="HB31" s="1424">
        <f>HA31</f>
        <v>9063599.5299999993</v>
      </c>
      <c r="HC31" s="1424"/>
      <c r="HD31" s="1425"/>
      <c r="HE31" s="699">
        <f>'Федеральные  средства  по  МО'!BB32</f>
        <v>0</v>
      </c>
      <c r="HF31" s="1424">
        <f>HE31</f>
        <v>0</v>
      </c>
      <c r="HG31" s="1422"/>
      <c r="HH31" s="1522"/>
      <c r="HI31" s="277">
        <f>'Федеральные  средства  по  МО'!BC32</f>
        <v>0</v>
      </c>
      <c r="HJ31" s="1424">
        <f>HI31</f>
        <v>0</v>
      </c>
      <c r="HK31" s="1422"/>
      <c r="HL31" s="1522"/>
      <c r="HM31" s="277">
        <f>'Федеральные  средства  по  МО'!BD32</f>
        <v>0</v>
      </c>
      <c r="HN31" s="1424">
        <f>HM31</f>
        <v>0</v>
      </c>
      <c r="HO31" s="1422"/>
      <c r="HP31" s="1522"/>
      <c r="HQ31" s="277">
        <f>'Федеральные  средства  по  МО'!BE32</f>
        <v>0</v>
      </c>
      <c r="HR31" s="1424">
        <f>HQ31</f>
        <v>0</v>
      </c>
      <c r="HS31" s="1424"/>
      <c r="HT31" s="1425"/>
      <c r="HU31" s="699">
        <f>'Федеральные  средства  по  МО'!BF32</f>
        <v>190000000</v>
      </c>
      <c r="HV31" s="1424">
        <f>HU31</f>
        <v>190000000</v>
      </c>
      <c r="HW31" s="1422"/>
      <c r="HX31" s="1522"/>
      <c r="HY31" s="1521">
        <f>'Федеральные  средства  по  МО'!BG32</f>
        <v>25941651.77</v>
      </c>
      <c r="HZ31" s="1424">
        <f>HY31</f>
        <v>25941651.77</v>
      </c>
      <c r="IA31" s="1424"/>
      <c r="IB31" s="1426"/>
      <c r="IC31" s="277">
        <f>'Федеральные  средства  по  МО'!BJ32</f>
        <v>0</v>
      </c>
      <c r="ID31" s="1424">
        <f>IC31</f>
        <v>0</v>
      </c>
      <c r="IE31" s="1422"/>
      <c r="IF31" s="1522"/>
      <c r="IG31" s="1521">
        <f>'Федеральные  средства  по  МО'!BK32</f>
        <v>0</v>
      </c>
      <c r="IH31" s="1424">
        <f>IG31</f>
        <v>0</v>
      </c>
      <c r="II31" s="1424"/>
      <c r="IJ31" s="1425"/>
      <c r="IK31" s="1521">
        <f>'Федеральные  средства  по  МО'!BN32</f>
        <v>112160600</v>
      </c>
      <c r="IL31" s="1424">
        <f>IK31</f>
        <v>112160600</v>
      </c>
      <c r="IM31" s="1422"/>
      <c r="IN31" s="1522"/>
      <c r="IO31" s="277">
        <f>'Федеральные  средства  по  МО'!BO32</f>
        <v>32194859.629999999</v>
      </c>
      <c r="IP31" s="1424">
        <f>IO31</f>
        <v>32194859.629999999</v>
      </c>
      <c r="IQ31" s="1424"/>
      <c r="IR31" s="1426"/>
      <c r="IS31" s="103">
        <f>'Федеральные  средства  по  МО'!BH32</f>
        <v>0</v>
      </c>
      <c r="IT31" s="1424">
        <f>IS31</f>
        <v>0</v>
      </c>
      <c r="IU31" s="1426"/>
      <c r="IV31" s="1424"/>
      <c r="IW31" s="100">
        <f>'Федеральные  средства  по  МО'!BI32</f>
        <v>0</v>
      </c>
      <c r="IX31" s="1424">
        <f>IW31</f>
        <v>0</v>
      </c>
      <c r="IY31" s="1424"/>
      <c r="IZ31" s="1425"/>
      <c r="JA31" s="103">
        <f>'Федеральные  средства  по  МО'!BP32</f>
        <v>0</v>
      </c>
      <c r="JB31" s="1424">
        <f>JA31</f>
        <v>0</v>
      </c>
      <c r="JC31" s="1426"/>
      <c r="JD31" s="1424"/>
      <c r="JE31" s="100">
        <f>'Федеральные  средства  по  МО'!BQ32</f>
        <v>0</v>
      </c>
      <c r="JF31" s="1424">
        <f>JE31</f>
        <v>0</v>
      </c>
      <c r="JG31" s="1424"/>
      <c r="JH31" s="1425"/>
      <c r="JI31" s="103">
        <f>'Федеральные  средства  по  МО'!BL32</f>
        <v>0</v>
      </c>
      <c r="JJ31" s="1424">
        <f>JI31</f>
        <v>0</v>
      </c>
      <c r="JK31" s="1426"/>
      <c r="JL31" s="1424"/>
      <c r="JM31" s="100">
        <f>'Федеральные  средства  по  МО'!BM32</f>
        <v>0</v>
      </c>
      <c r="JN31" s="1424">
        <f>JM31</f>
        <v>0</v>
      </c>
      <c r="JO31" s="1424"/>
      <c r="JP31" s="1425"/>
    </row>
    <row r="32" spans="1:276" ht="25.5" customHeight="1" thickBot="1" x14ac:dyDescent="0.35">
      <c r="A32" s="160" t="s">
        <v>7</v>
      </c>
      <c r="B32" s="114">
        <f t="shared" ref="B32" si="109">SUM(B30:B31)</f>
        <v>1561742874.54</v>
      </c>
      <c r="C32" s="1429">
        <f>SUM(C30:C31)</f>
        <v>1561742874.54</v>
      </c>
      <c r="D32" s="1429">
        <f>SUM(D30:D31)</f>
        <v>0</v>
      </c>
      <c r="E32" s="1429">
        <f>SUM(E30:E31)</f>
        <v>0</v>
      </c>
      <c r="F32" s="114">
        <f t="shared" ref="F32" si="110">SUM(F30:F31)</f>
        <v>422464518</v>
      </c>
      <c r="G32" s="1429">
        <f>SUM(G30:G31)</f>
        <v>422464518</v>
      </c>
      <c r="H32" s="1429">
        <f>SUM(H30:H31)</f>
        <v>0</v>
      </c>
      <c r="I32" s="1429">
        <f>SUM(I30:I31)</f>
        <v>0</v>
      </c>
      <c r="J32" s="105"/>
      <c r="K32" s="1421">
        <f>M32-'Федеральные  средства  по  МО'!D33</f>
        <v>0</v>
      </c>
      <c r="L32" s="1421">
        <f>Q32-'Федеральные  средства  по  МО'!E33</f>
        <v>0</v>
      </c>
      <c r="M32" s="114">
        <f t="shared" ref="M32" si="111">SUM(M30:M31)</f>
        <v>1962568688.6399999</v>
      </c>
      <c r="N32" s="1429">
        <f t="shared" ref="N32:AB32" si="112">SUM(N30:N31)</f>
        <v>1962568688.6399999</v>
      </c>
      <c r="O32" s="1429">
        <f t="shared" si="112"/>
        <v>0</v>
      </c>
      <c r="P32" s="1429">
        <f t="shared" si="112"/>
        <v>0</v>
      </c>
      <c r="Q32" s="114">
        <f t="shared" si="112"/>
        <v>680618202.46000004</v>
      </c>
      <c r="R32" s="1429">
        <f t="shared" si="112"/>
        <v>680618202.46000004</v>
      </c>
      <c r="S32" s="1429">
        <f t="shared" si="112"/>
        <v>0</v>
      </c>
      <c r="T32" s="1429">
        <f t="shared" si="112"/>
        <v>0</v>
      </c>
      <c r="U32" s="831">
        <f t="shared" si="112"/>
        <v>711188.46</v>
      </c>
      <c r="V32" s="1439">
        <f t="shared" si="112"/>
        <v>711188.46</v>
      </c>
      <c r="W32" s="1514">
        <f t="shared" si="112"/>
        <v>0</v>
      </c>
      <c r="X32" s="1429">
        <f t="shared" si="112"/>
        <v>0</v>
      </c>
      <c r="Y32" s="114">
        <f t="shared" si="112"/>
        <v>711188.46</v>
      </c>
      <c r="Z32" s="1514">
        <f t="shared" si="112"/>
        <v>711188.46</v>
      </c>
      <c r="AA32" s="1429">
        <f t="shared" si="112"/>
        <v>0</v>
      </c>
      <c r="AB32" s="1440">
        <f t="shared" si="112"/>
        <v>0</v>
      </c>
      <c r="AC32" s="831">
        <f t="shared" ref="AC32:JM32" si="113">SUM(AC30:AC31)</f>
        <v>400114625.63999999</v>
      </c>
      <c r="AD32" s="1438">
        <f t="shared" si="113"/>
        <v>400114625.63999999</v>
      </c>
      <c r="AE32" s="1439">
        <f t="shared" si="113"/>
        <v>0</v>
      </c>
      <c r="AF32" s="1440">
        <f t="shared" si="113"/>
        <v>0</v>
      </c>
      <c r="AG32" s="117">
        <f t="shared" si="113"/>
        <v>257442496</v>
      </c>
      <c r="AH32" s="1438">
        <f t="shared" ref="AH32:AO32" si="114">SUM(AH30:AH31)</f>
        <v>257442496</v>
      </c>
      <c r="AI32" s="1439">
        <f t="shared" si="114"/>
        <v>0</v>
      </c>
      <c r="AJ32" s="1440">
        <f t="shared" si="114"/>
        <v>0</v>
      </c>
      <c r="AK32" s="831">
        <f t="shared" si="114"/>
        <v>611225000</v>
      </c>
      <c r="AL32" s="1438">
        <f t="shared" si="114"/>
        <v>611225000</v>
      </c>
      <c r="AM32" s="1439">
        <f t="shared" si="114"/>
        <v>0</v>
      </c>
      <c r="AN32" s="1440">
        <f t="shared" si="114"/>
        <v>0</v>
      </c>
      <c r="AO32" s="117">
        <f t="shared" si="114"/>
        <v>132242687.39</v>
      </c>
      <c r="AP32" s="1438">
        <f t="shared" ref="AP32:AR32" si="115">SUM(AP30:AP31)</f>
        <v>132242687.39</v>
      </c>
      <c r="AQ32" s="1439">
        <f t="shared" si="115"/>
        <v>0</v>
      </c>
      <c r="AR32" s="1440">
        <f t="shared" si="115"/>
        <v>0</v>
      </c>
      <c r="AS32" s="116">
        <f t="shared" si="113"/>
        <v>0</v>
      </c>
      <c r="AT32" s="1439">
        <f t="shared" ref="AT32" si="116">SUM(AT30:AT31)</f>
        <v>0</v>
      </c>
      <c r="AU32" s="1439">
        <f t="shared" ref="AU32:AV32" si="117">SUM(AU30:AU31)</f>
        <v>0</v>
      </c>
      <c r="AV32" s="1514">
        <f t="shared" si="117"/>
        <v>0</v>
      </c>
      <c r="AW32" s="114">
        <f t="shared" si="113"/>
        <v>0</v>
      </c>
      <c r="AX32" s="1439">
        <f t="shared" ref="AX32" si="118">SUM(AX30:AX31)</f>
        <v>0</v>
      </c>
      <c r="AY32" s="1514">
        <f t="shared" ref="AY32:AZ32" si="119">SUM(AY30:AY31)</f>
        <v>0</v>
      </c>
      <c r="AZ32" s="1439">
        <f t="shared" si="119"/>
        <v>0</v>
      </c>
      <c r="BA32" s="118">
        <f t="shared" si="113"/>
        <v>0</v>
      </c>
      <c r="BB32" s="1439">
        <f t="shared" si="113"/>
        <v>0</v>
      </c>
      <c r="BC32" s="1514">
        <f t="shared" ref="BC32:BD32" si="120">SUM(BC30:BC31)</f>
        <v>0</v>
      </c>
      <c r="BD32" s="1439">
        <f t="shared" si="120"/>
        <v>0</v>
      </c>
      <c r="BE32" s="117">
        <f t="shared" si="113"/>
        <v>0</v>
      </c>
      <c r="BF32" s="1439">
        <f t="shared" si="113"/>
        <v>0</v>
      </c>
      <c r="BG32" s="1439">
        <f t="shared" ref="BG32:BH32" si="121">SUM(BG30:BG31)</f>
        <v>0</v>
      </c>
      <c r="BH32" s="1440">
        <f t="shared" si="121"/>
        <v>0</v>
      </c>
      <c r="BI32" s="114">
        <f>SUM(BI30:BI31)</f>
        <v>0</v>
      </c>
      <c r="BJ32" s="1439">
        <f t="shared" ref="BJ32" si="122">SUM(BJ30:BJ31)</f>
        <v>0</v>
      </c>
      <c r="BK32" s="1439">
        <f t="shared" ref="BK32:BL32" si="123">SUM(BK30:BK31)</f>
        <v>0</v>
      </c>
      <c r="BL32" s="1440">
        <f t="shared" si="123"/>
        <v>0</v>
      </c>
      <c r="BM32" s="831">
        <f>SUM(BM30:BM31)</f>
        <v>0</v>
      </c>
      <c r="BN32" s="1439">
        <f t="shared" ref="BN32" si="124">SUM(BN30:BN31)</f>
        <v>0</v>
      </c>
      <c r="BO32" s="1439">
        <f t="shared" ref="BO32:BP32" si="125">SUM(BO30:BO31)</f>
        <v>0</v>
      </c>
      <c r="BP32" s="1440">
        <f t="shared" si="125"/>
        <v>0</v>
      </c>
      <c r="BQ32" s="116">
        <f t="shared" ref="BQ32:DD32" si="126">SUM(BQ30:BQ31)</f>
        <v>0</v>
      </c>
      <c r="BR32" s="1439">
        <f t="shared" ref="BR32" si="127">SUM(BR30:BR31)</f>
        <v>0</v>
      </c>
      <c r="BS32" s="1439">
        <f t="shared" si="126"/>
        <v>0</v>
      </c>
      <c r="BT32" s="1440">
        <f t="shared" si="126"/>
        <v>0</v>
      </c>
      <c r="BU32" s="114">
        <f t="shared" si="126"/>
        <v>0</v>
      </c>
      <c r="BV32" s="1439">
        <f t="shared" si="126"/>
        <v>0</v>
      </c>
      <c r="BW32" s="1439">
        <f t="shared" si="126"/>
        <v>0</v>
      </c>
      <c r="BX32" s="1440">
        <f t="shared" si="126"/>
        <v>0</v>
      </c>
      <c r="BY32" s="114">
        <f t="shared" si="126"/>
        <v>0</v>
      </c>
      <c r="BZ32" s="1438">
        <f t="shared" si="126"/>
        <v>0</v>
      </c>
      <c r="CA32" s="1438">
        <f t="shared" si="126"/>
        <v>0</v>
      </c>
      <c r="CB32" s="1429">
        <f t="shared" si="126"/>
        <v>0</v>
      </c>
      <c r="CC32" s="463">
        <f t="shared" si="126"/>
        <v>0</v>
      </c>
      <c r="CD32" s="1438">
        <f t="shared" si="126"/>
        <v>0</v>
      </c>
      <c r="CE32" s="1439">
        <f t="shared" si="126"/>
        <v>0</v>
      </c>
      <c r="CF32" s="1440">
        <f t="shared" si="126"/>
        <v>0</v>
      </c>
      <c r="CG32" s="116">
        <f t="shared" ref="CG32:CV32" si="128">SUM(CG30:CG31)</f>
        <v>25000000</v>
      </c>
      <c r="CH32" s="1438">
        <f t="shared" si="128"/>
        <v>25000000</v>
      </c>
      <c r="CI32" s="1439">
        <f t="shared" si="128"/>
        <v>0</v>
      </c>
      <c r="CJ32" s="1440">
        <f t="shared" si="128"/>
        <v>0</v>
      </c>
      <c r="CK32" s="117">
        <f t="shared" si="128"/>
        <v>1371134.02</v>
      </c>
      <c r="CL32" s="1438">
        <f t="shared" si="128"/>
        <v>1371134.02</v>
      </c>
      <c r="CM32" s="1439">
        <f t="shared" si="128"/>
        <v>0</v>
      </c>
      <c r="CN32" s="1440">
        <f t="shared" si="128"/>
        <v>0</v>
      </c>
      <c r="CO32" s="116">
        <f t="shared" si="128"/>
        <v>0</v>
      </c>
      <c r="CP32" s="1438">
        <f t="shared" si="128"/>
        <v>0</v>
      </c>
      <c r="CQ32" s="1439">
        <f t="shared" si="128"/>
        <v>0</v>
      </c>
      <c r="CR32" s="1440">
        <f t="shared" si="128"/>
        <v>0</v>
      </c>
      <c r="CS32" s="117">
        <f t="shared" si="128"/>
        <v>0</v>
      </c>
      <c r="CT32" s="1438">
        <f t="shared" si="128"/>
        <v>0</v>
      </c>
      <c r="CU32" s="1439">
        <f t="shared" si="128"/>
        <v>0</v>
      </c>
      <c r="CV32" s="1440">
        <f t="shared" si="128"/>
        <v>0</v>
      </c>
      <c r="CW32" s="116">
        <f t="shared" si="126"/>
        <v>454752300</v>
      </c>
      <c r="CX32" s="1438">
        <f t="shared" si="126"/>
        <v>454752300</v>
      </c>
      <c r="CY32" s="1439">
        <f t="shared" si="126"/>
        <v>0</v>
      </c>
      <c r="CZ32" s="1440">
        <f t="shared" si="126"/>
        <v>0</v>
      </c>
      <c r="DA32" s="117">
        <f t="shared" si="126"/>
        <v>145774205.91999999</v>
      </c>
      <c r="DB32" s="1438">
        <f t="shared" si="126"/>
        <v>145774205.91999999</v>
      </c>
      <c r="DC32" s="1439">
        <f t="shared" si="126"/>
        <v>0</v>
      </c>
      <c r="DD32" s="1440">
        <f t="shared" si="126"/>
        <v>0</v>
      </c>
      <c r="DE32" s="116">
        <f t="shared" ref="DE32:DT32" si="129">SUM(DE30:DE31)</f>
        <v>0</v>
      </c>
      <c r="DF32" s="1438">
        <f t="shared" si="129"/>
        <v>0</v>
      </c>
      <c r="DG32" s="1439">
        <f t="shared" si="129"/>
        <v>0</v>
      </c>
      <c r="DH32" s="1440">
        <f t="shared" si="129"/>
        <v>0</v>
      </c>
      <c r="DI32" s="117">
        <f t="shared" si="129"/>
        <v>0</v>
      </c>
      <c r="DJ32" s="1438">
        <f t="shared" si="129"/>
        <v>0</v>
      </c>
      <c r="DK32" s="1439">
        <f t="shared" si="129"/>
        <v>0</v>
      </c>
      <c r="DL32" s="1440">
        <f t="shared" si="129"/>
        <v>0</v>
      </c>
      <c r="DM32" s="116">
        <f t="shared" si="129"/>
        <v>0</v>
      </c>
      <c r="DN32" s="1438">
        <f t="shared" si="129"/>
        <v>0</v>
      </c>
      <c r="DO32" s="1439">
        <f t="shared" si="129"/>
        <v>0</v>
      </c>
      <c r="DP32" s="1440">
        <f t="shared" si="129"/>
        <v>0</v>
      </c>
      <c r="DQ32" s="117">
        <f t="shared" si="129"/>
        <v>0</v>
      </c>
      <c r="DR32" s="1438">
        <f t="shared" si="129"/>
        <v>0</v>
      </c>
      <c r="DS32" s="1439">
        <f t="shared" si="129"/>
        <v>0</v>
      </c>
      <c r="DT32" s="1440">
        <f t="shared" si="129"/>
        <v>0</v>
      </c>
      <c r="DU32" s="116">
        <f>SUM(DU30:DU31)</f>
        <v>1300967.25</v>
      </c>
      <c r="DV32" s="1438">
        <f t="shared" ref="DV32:DX32" si="130">SUM(DV30:DV31)</f>
        <v>1300967.25</v>
      </c>
      <c r="DW32" s="1439">
        <f t="shared" si="130"/>
        <v>0</v>
      </c>
      <c r="DX32" s="1440">
        <f t="shared" si="130"/>
        <v>0</v>
      </c>
      <c r="DY32" s="117">
        <f>SUM(DY30:DY31)</f>
        <v>113828.16</v>
      </c>
      <c r="DZ32" s="1438">
        <f t="shared" ref="DZ32:EB32" si="131">SUM(DZ30:DZ31)</f>
        <v>113828.16</v>
      </c>
      <c r="EA32" s="1439">
        <f t="shared" si="131"/>
        <v>0</v>
      </c>
      <c r="EB32" s="1440">
        <f t="shared" si="131"/>
        <v>0</v>
      </c>
      <c r="EC32" s="116">
        <f>SUM(EC30:EC31)</f>
        <v>0</v>
      </c>
      <c r="ED32" s="1438">
        <f t="shared" ref="ED32:EF32" si="132">SUM(ED30:ED31)</f>
        <v>0</v>
      </c>
      <c r="EE32" s="1439">
        <f t="shared" si="132"/>
        <v>0</v>
      </c>
      <c r="EF32" s="1440">
        <f t="shared" si="132"/>
        <v>0</v>
      </c>
      <c r="EG32" s="117">
        <f>SUM(EG30:EG31)</f>
        <v>0</v>
      </c>
      <c r="EH32" s="1438">
        <f t="shared" ref="EH32:ER32" si="133">SUM(EH30:EH31)</f>
        <v>0</v>
      </c>
      <c r="EI32" s="1439">
        <f t="shared" si="133"/>
        <v>0</v>
      </c>
      <c r="EJ32" s="1440">
        <f t="shared" si="133"/>
        <v>0</v>
      </c>
      <c r="EK32" s="114">
        <f t="shared" si="133"/>
        <v>0</v>
      </c>
      <c r="EL32" s="1438">
        <f t="shared" si="133"/>
        <v>0</v>
      </c>
      <c r="EM32" s="1439">
        <f t="shared" si="133"/>
        <v>0</v>
      </c>
      <c r="EN32" s="1440">
        <f t="shared" si="133"/>
        <v>0</v>
      </c>
      <c r="EO32" s="114">
        <f t="shared" si="133"/>
        <v>0</v>
      </c>
      <c r="EP32" s="1438">
        <f t="shared" si="133"/>
        <v>0</v>
      </c>
      <c r="EQ32" s="1439">
        <f t="shared" si="133"/>
        <v>0</v>
      </c>
      <c r="ER32" s="1440">
        <f t="shared" si="133"/>
        <v>0</v>
      </c>
      <c r="ES32" s="116">
        <f t="shared" ref="ES32:EZ32" si="134">SUM(ES30:ES31)</f>
        <v>24426407.289999999</v>
      </c>
      <c r="ET32" s="1429">
        <f t="shared" si="134"/>
        <v>24426407.289999999</v>
      </c>
      <c r="EU32" s="1514">
        <f t="shared" si="134"/>
        <v>0</v>
      </c>
      <c r="EV32" s="1429">
        <f t="shared" si="134"/>
        <v>0</v>
      </c>
      <c r="EW32" s="463">
        <f t="shared" si="134"/>
        <v>0</v>
      </c>
      <c r="EX32" s="1438">
        <f t="shared" si="134"/>
        <v>0</v>
      </c>
      <c r="EY32" s="1439">
        <f t="shared" si="134"/>
        <v>0</v>
      </c>
      <c r="EZ32" s="1440">
        <f t="shared" si="134"/>
        <v>0</v>
      </c>
      <c r="FA32" s="114">
        <f t="shared" si="113"/>
        <v>4084000</v>
      </c>
      <c r="FB32" s="1438">
        <f t="shared" ref="FB32:FD32" si="135">SUM(FB30:FB31)</f>
        <v>4084000</v>
      </c>
      <c r="FC32" s="1439">
        <f t="shared" si="135"/>
        <v>0</v>
      </c>
      <c r="FD32" s="1440">
        <f t="shared" si="135"/>
        <v>0</v>
      </c>
      <c r="FE32" s="114">
        <f t="shared" si="113"/>
        <v>2568051.58</v>
      </c>
      <c r="FF32" s="1438">
        <f t="shared" ref="FF32:FH32" si="136">SUM(FF30:FF31)</f>
        <v>2568051.58</v>
      </c>
      <c r="FG32" s="1439">
        <f t="shared" si="136"/>
        <v>0</v>
      </c>
      <c r="FH32" s="1439">
        <f t="shared" si="136"/>
        <v>0</v>
      </c>
      <c r="FI32" s="118">
        <f t="shared" si="113"/>
        <v>0</v>
      </c>
      <c r="FJ32" s="1438">
        <f t="shared" ref="FJ32:FL32" si="137">SUM(FJ30:FJ31)</f>
        <v>0</v>
      </c>
      <c r="FK32" s="1439">
        <f t="shared" si="137"/>
        <v>0</v>
      </c>
      <c r="FL32" s="1440">
        <f t="shared" si="137"/>
        <v>0</v>
      </c>
      <c r="FM32" s="114">
        <f t="shared" si="113"/>
        <v>0</v>
      </c>
      <c r="FN32" s="1438">
        <f t="shared" ref="FN32:FU32" si="138">SUM(FN30:FN31)</f>
        <v>0</v>
      </c>
      <c r="FO32" s="1439">
        <f t="shared" si="138"/>
        <v>0</v>
      </c>
      <c r="FP32" s="1514">
        <f t="shared" si="138"/>
        <v>0</v>
      </c>
      <c r="FQ32" s="114">
        <f t="shared" si="138"/>
        <v>0</v>
      </c>
      <c r="FR32" s="1438">
        <f t="shared" si="138"/>
        <v>0</v>
      </c>
      <c r="FS32" s="1438">
        <f t="shared" si="138"/>
        <v>0</v>
      </c>
      <c r="FT32" s="1429">
        <f t="shared" si="138"/>
        <v>0</v>
      </c>
      <c r="FU32" s="463">
        <f t="shared" si="138"/>
        <v>0</v>
      </c>
      <c r="FV32" s="1438">
        <f t="shared" ref="FV32:GF32" si="139">SUM(FV30:FV31)</f>
        <v>0</v>
      </c>
      <c r="FW32" s="1439">
        <f t="shared" si="139"/>
        <v>0</v>
      </c>
      <c r="FX32" s="1514">
        <f t="shared" si="139"/>
        <v>0</v>
      </c>
      <c r="FY32" s="114">
        <f t="shared" si="139"/>
        <v>0</v>
      </c>
      <c r="FZ32" s="1438">
        <f t="shared" si="139"/>
        <v>0</v>
      </c>
      <c r="GA32" s="1439">
        <f t="shared" si="139"/>
        <v>0</v>
      </c>
      <c r="GB32" s="1440">
        <f t="shared" si="139"/>
        <v>0</v>
      </c>
      <c r="GC32" s="117">
        <f t="shared" si="139"/>
        <v>0</v>
      </c>
      <c r="GD32" s="1438">
        <f t="shared" si="139"/>
        <v>0</v>
      </c>
      <c r="GE32" s="1439">
        <f t="shared" si="139"/>
        <v>0</v>
      </c>
      <c r="GF32" s="1440">
        <f t="shared" si="139"/>
        <v>0</v>
      </c>
      <c r="GG32" s="116">
        <f t="shared" si="113"/>
        <v>0</v>
      </c>
      <c r="GH32" s="1438">
        <f t="shared" ref="GH32:GJ32" si="140">SUM(GH30:GH31)</f>
        <v>0</v>
      </c>
      <c r="GI32" s="1439">
        <f t="shared" si="140"/>
        <v>0</v>
      </c>
      <c r="GJ32" s="1440">
        <f t="shared" si="140"/>
        <v>0</v>
      </c>
      <c r="GK32" s="114">
        <f t="shared" si="113"/>
        <v>0</v>
      </c>
      <c r="GL32" s="1438">
        <f t="shared" ref="GL32:GN32" si="141">SUM(GL30:GL31)</f>
        <v>0</v>
      </c>
      <c r="GM32" s="1439">
        <f t="shared" si="141"/>
        <v>0</v>
      </c>
      <c r="GN32" s="1440">
        <f t="shared" si="141"/>
        <v>0</v>
      </c>
      <c r="GO32" s="116">
        <f t="shared" si="113"/>
        <v>73194500</v>
      </c>
      <c r="GP32" s="1438">
        <f t="shared" ref="GP32:GR32" si="142">SUM(GP30:GP31)</f>
        <v>73194500</v>
      </c>
      <c r="GQ32" s="1439">
        <f t="shared" si="142"/>
        <v>0</v>
      </c>
      <c r="GR32" s="1440">
        <f t="shared" si="142"/>
        <v>0</v>
      </c>
      <c r="GS32" s="831">
        <f t="shared" si="113"/>
        <v>73194500</v>
      </c>
      <c r="GT32" s="1429">
        <f t="shared" ref="GT32:GV32" si="143">SUM(GT30:GT31)</f>
        <v>73194500</v>
      </c>
      <c r="GU32" s="1514">
        <f t="shared" si="143"/>
        <v>0</v>
      </c>
      <c r="GV32" s="1429">
        <f t="shared" si="143"/>
        <v>0</v>
      </c>
      <c r="GW32" s="463">
        <f t="shared" si="113"/>
        <v>35042600</v>
      </c>
      <c r="GX32" s="1438">
        <f t="shared" ref="GX32:GZ32" si="144">SUM(GX30:GX31)</f>
        <v>35042600</v>
      </c>
      <c r="GY32" s="1438">
        <f t="shared" si="144"/>
        <v>0</v>
      </c>
      <c r="GZ32" s="1429">
        <f t="shared" si="144"/>
        <v>0</v>
      </c>
      <c r="HA32" s="1536">
        <f t="shared" si="113"/>
        <v>9063599.5299999993</v>
      </c>
      <c r="HB32" s="1438">
        <f t="shared" ref="HB32:HD32" si="145">SUM(HB30:HB31)</f>
        <v>9063599.5299999993</v>
      </c>
      <c r="HC32" s="1439">
        <f t="shared" si="145"/>
        <v>0</v>
      </c>
      <c r="HD32" s="1440">
        <f t="shared" si="145"/>
        <v>0</v>
      </c>
      <c r="HE32" s="116">
        <f>SUM(HE30:HE31)</f>
        <v>0</v>
      </c>
      <c r="HF32" s="1438">
        <f t="shared" ref="HF32:HH32" si="146">SUM(HF30:HF31)</f>
        <v>0</v>
      </c>
      <c r="HG32" s="1439">
        <f t="shared" si="146"/>
        <v>0</v>
      </c>
      <c r="HH32" s="1440">
        <f t="shared" si="146"/>
        <v>0</v>
      </c>
      <c r="HI32" s="114">
        <f>SUM(HI30:HI31)</f>
        <v>0</v>
      </c>
      <c r="HJ32" s="1438">
        <f t="shared" ref="HJ32:HL32" si="147">SUM(HJ30:HJ31)</f>
        <v>0</v>
      </c>
      <c r="HK32" s="1439">
        <f t="shared" si="147"/>
        <v>0</v>
      </c>
      <c r="HL32" s="1440">
        <f t="shared" si="147"/>
        <v>0</v>
      </c>
      <c r="HM32" s="116">
        <f>SUM(HM30:HM31)</f>
        <v>0</v>
      </c>
      <c r="HN32" s="1438">
        <f t="shared" ref="HN32:HP32" si="148">SUM(HN30:HN31)</f>
        <v>0</v>
      </c>
      <c r="HO32" s="1439">
        <f t="shared" si="148"/>
        <v>0</v>
      </c>
      <c r="HP32" s="1440">
        <f t="shared" si="148"/>
        <v>0</v>
      </c>
      <c r="HQ32" s="114">
        <f>SUM(HQ30:HQ31)</f>
        <v>0</v>
      </c>
      <c r="HR32" s="1438">
        <f t="shared" ref="HR32:HT32" si="149">SUM(HR30:HR31)</f>
        <v>0</v>
      </c>
      <c r="HS32" s="1439">
        <f t="shared" si="149"/>
        <v>0</v>
      </c>
      <c r="HT32" s="1440">
        <f t="shared" si="149"/>
        <v>0</v>
      </c>
      <c r="HU32" s="116">
        <f t="shared" si="113"/>
        <v>220556500</v>
      </c>
      <c r="HV32" s="1438">
        <f t="shared" ref="HV32:HX32" si="150">SUM(HV30:HV31)</f>
        <v>220556500</v>
      </c>
      <c r="HW32" s="1439">
        <f t="shared" si="150"/>
        <v>0</v>
      </c>
      <c r="HX32" s="1440">
        <f t="shared" si="150"/>
        <v>0</v>
      </c>
      <c r="HY32" s="117">
        <f t="shared" si="113"/>
        <v>25941651.77</v>
      </c>
      <c r="HZ32" s="1438">
        <f t="shared" ref="HZ32:IB32" si="151">SUM(HZ30:HZ31)</f>
        <v>25941651.77</v>
      </c>
      <c r="IA32" s="1439">
        <f t="shared" si="151"/>
        <v>0</v>
      </c>
      <c r="IB32" s="1514">
        <f t="shared" si="151"/>
        <v>0</v>
      </c>
      <c r="IC32" s="114">
        <f t="shared" si="113"/>
        <v>0</v>
      </c>
      <c r="ID32" s="1438">
        <f t="shared" ref="ID32:IF32" si="152">SUM(ID30:ID31)</f>
        <v>0</v>
      </c>
      <c r="IE32" s="1439">
        <f t="shared" si="152"/>
        <v>0</v>
      </c>
      <c r="IF32" s="1440">
        <f t="shared" si="152"/>
        <v>0</v>
      </c>
      <c r="IG32" s="117">
        <f t="shared" si="113"/>
        <v>0</v>
      </c>
      <c r="IH32" s="1438">
        <f t="shared" ref="IH32:IJ32" si="153">SUM(IH30:IH31)</f>
        <v>0</v>
      </c>
      <c r="II32" s="1439">
        <f t="shared" si="153"/>
        <v>0</v>
      </c>
      <c r="IJ32" s="1440">
        <f t="shared" si="153"/>
        <v>0</v>
      </c>
      <c r="IK32" s="114">
        <f t="shared" si="113"/>
        <v>112160600</v>
      </c>
      <c r="IL32" s="1438">
        <f t="shared" ref="IL32:IN32" si="154">SUM(IL30:IL31)</f>
        <v>112160600</v>
      </c>
      <c r="IM32" s="1439">
        <f t="shared" si="154"/>
        <v>0</v>
      </c>
      <c r="IN32" s="1440">
        <f t="shared" si="154"/>
        <v>0</v>
      </c>
      <c r="IO32" s="117">
        <f t="shared" si="113"/>
        <v>32194859.629999999</v>
      </c>
      <c r="IP32" s="1438">
        <f t="shared" ref="IP32:IR32" si="155">SUM(IP30:IP31)</f>
        <v>32194859.629999999</v>
      </c>
      <c r="IQ32" s="1439">
        <f t="shared" si="155"/>
        <v>0</v>
      </c>
      <c r="IR32" s="1514">
        <f t="shared" si="155"/>
        <v>0</v>
      </c>
      <c r="IS32" s="116">
        <f t="shared" si="113"/>
        <v>0</v>
      </c>
      <c r="IT32" s="1439">
        <f t="shared" ref="IT32:IV32" si="156">SUM(IT30:IT31)</f>
        <v>0</v>
      </c>
      <c r="IU32" s="1514">
        <f t="shared" si="156"/>
        <v>0</v>
      </c>
      <c r="IV32" s="1439">
        <f t="shared" si="156"/>
        <v>0</v>
      </c>
      <c r="IW32" s="463">
        <f t="shared" si="113"/>
        <v>0</v>
      </c>
      <c r="IX32" s="1438">
        <f t="shared" ref="IX32:IZ32" si="157">SUM(IX30:IX31)</f>
        <v>0</v>
      </c>
      <c r="IY32" s="1439">
        <f t="shared" si="157"/>
        <v>0</v>
      </c>
      <c r="IZ32" s="1440">
        <f t="shared" si="157"/>
        <v>0</v>
      </c>
      <c r="JA32" s="116">
        <f t="shared" si="113"/>
        <v>0</v>
      </c>
      <c r="JB32" s="1429">
        <f t="shared" ref="JB32:JD32" si="158">SUM(JB30:JB31)</f>
        <v>0</v>
      </c>
      <c r="JC32" s="1514">
        <f t="shared" si="158"/>
        <v>0</v>
      </c>
      <c r="JD32" s="1429">
        <f t="shared" si="158"/>
        <v>0</v>
      </c>
      <c r="JE32" s="463">
        <f t="shared" si="113"/>
        <v>0</v>
      </c>
      <c r="JF32" s="1438">
        <f t="shared" ref="JF32:JH32" si="159">SUM(JF30:JF31)</f>
        <v>0</v>
      </c>
      <c r="JG32" s="1439">
        <f t="shared" si="159"/>
        <v>0</v>
      </c>
      <c r="JH32" s="1440">
        <f t="shared" si="159"/>
        <v>0</v>
      </c>
      <c r="JI32" s="116">
        <f t="shared" si="113"/>
        <v>0</v>
      </c>
      <c r="JJ32" s="1438">
        <f t="shared" ref="JJ32:JL32" si="160">SUM(JJ30:JJ31)</f>
        <v>0</v>
      </c>
      <c r="JK32" s="1439">
        <f t="shared" si="160"/>
        <v>0</v>
      </c>
      <c r="JL32" s="1440">
        <f t="shared" si="160"/>
        <v>0</v>
      </c>
      <c r="JM32" s="114">
        <f t="shared" si="113"/>
        <v>0</v>
      </c>
      <c r="JN32" s="1438">
        <f t="shared" ref="JN32:JP32" si="161">SUM(JN30:JN31)</f>
        <v>0</v>
      </c>
      <c r="JO32" s="1439">
        <f t="shared" si="161"/>
        <v>0</v>
      </c>
      <c r="JP32" s="1440">
        <f t="shared" si="161"/>
        <v>0</v>
      </c>
    </row>
    <row r="33" spans="1:276" ht="25.5" customHeight="1" x14ac:dyDescent="0.3">
      <c r="A33" s="96"/>
      <c r="B33" s="125"/>
      <c r="C33" s="1441"/>
      <c r="D33" s="1441"/>
      <c r="E33" s="1441"/>
      <c r="F33" s="125"/>
      <c r="G33" s="1441"/>
      <c r="H33" s="1441"/>
      <c r="I33" s="1441"/>
      <c r="J33" s="105"/>
      <c r="K33" s="1421">
        <f>M33-'Федеральные  средства  по  МО'!D34</f>
        <v>0</v>
      </c>
      <c r="L33" s="1421">
        <f>Q33-'Федеральные  средства  по  МО'!E34</f>
        <v>0</v>
      </c>
      <c r="M33" s="125"/>
      <c r="N33" s="1441"/>
      <c r="O33" s="1441"/>
      <c r="P33" s="1441"/>
      <c r="Q33" s="125"/>
      <c r="R33" s="1441"/>
      <c r="S33" s="1441"/>
      <c r="T33" s="1441"/>
      <c r="U33" s="207"/>
      <c r="V33" s="1441"/>
      <c r="W33" s="1443"/>
      <c r="X33" s="1443"/>
      <c r="Y33" s="125"/>
      <c r="Z33" s="1442"/>
      <c r="AA33" s="1441"/>
      <c r="AB33" s="1443"/>
      <c r="AC33" s="207"/>
      <c r="AD33" s="1442"/>
      <c r="AE33" s="1441"/>
      <c r="AF33" s="1443"/>
      <c r="AG33" s="125"/>
      <c r="AH33" s="1442"/>
      <c r="AI33" s="1441"/>
      <c r="AJ33" s="1443"/>
      <c r="AK33" s="207"/>
      <c r="AL33" s="1442"/>
      <c r="AM33" s="1441"/>
      <c r="AN33" s="1443"/>
      <c r="AO33" s="125"/>
      <c r="AP33" s="1442"/>
      <c r="AQ33" s="1441"/>
      <c r="AR33" s="1443"/>
      <c r="AS33" s="204"/>
      <c r="AT33" s="1441"/>
      <c r="AU33" s="1441"/>
      <c r="AV33" s="1443"/>
      <c r="AW33" s="833"/>
      <c r="AX33" s="1441"/>
      <c r="AY33" s="1533"/>
      <c r="AZ33" s="1441"/>
      <c r="BA33" s="128"/>
      <c r="BB33" s="1441"/>
      <c r="BC33" s="1533"/>
      <c r="BD33" s="1441"/>
      <c r="BE33" s="126"/>
      <c r="BF33" s="1441"/>
      <c r="BG33" s="1441"/>
      <c r="BH33" s="1443"/>
      <c r="BI33" s="128"/>
      <c r="BJ33" s="1441"/>
      <c r="BK33" s="1441"/>
      <c r="BL33" s="1443"/>
      <c r="BM33" s="833"/>
      <c r="BN33" s="1441"/>
      <c r="BO33" s="1441"/>
      <c r="BP33" s="1443"/>
      <c r="BQ33" s="204"/>
      <c r="BR33" s="1441"/>
      <c r="BS33" s="1441"/>
      <c r="BT33" s="1443"/>
      <c r="BU33" s="126"/>
      <c r="BV33" s="1441"/>
      <c r="BW33" s="1441"/>
      <c r="BX33" s="1443"/>
      <c r="BY33" s="128"/>
      <c r="BZ33" s="1442"/>
      <c r="CA33" s="1441"/>
      <c r="CB33" s="1443"/>
      <c r="CC33" s="126"/>
      <c r="CD33" s="1442"/>
      <c r="CE33" s="1441"/>
      <c r="CF33" s="1443"/>
      <c r="CG33" s="204"/>
      <c r="CH33" s="1442"/>
      <c r="CI33" s="1441"/>
      <c r="CJ33" s="1443"/>
      <c r="CK33" s="126"/>
      <c r="CL33" s="1442"/>
      <c r="CM33" s="1441"/>
      <c r="CN33" s="1443"/>
      <c r="CO33" s="204"/>
      <c r="CP33" s="1442"/>
      <c r="CQ33" s="1441"/>
      <c r="CR33" s="1443"/>
      <c r="CS33" s="126"/>
      <c r="CT33" s="1442"/>
      <c r="CU33" s="1441"/>
      <c r="CV33" s="1443"/>
      <c r="CW33" s="204"/>
      <c r="CX33" s="1442"/>
      <c r="CY33" s="1441"/>
      <c r="CZ33" s="1443"/>
      <c r="DA33" s="126"/>
      <c r="DB33" s="1442"/>
      <c r="DC33" s="1441"/>
      <c r="DD33" s="1443"/>
      <c r="DE33" s="204"/>
      <c r="DF33" s="1442"/>
      <c r="DG33" s="1441"/>
      <c r="DH33" s="1443"/>
      <c r="DI33" s="126"/>
      <c r="DJ33" s="1442"/>
      <c r="DK33" s="1441"/>
      <c r="DL33" s="1443"/>
      <c r="DM33" s="204"/>
      <c r="DN33" s="1442"/>
      <c r="DO33" s="1441"/>
      <c r="DP33" s="1443"/>
      <c r="DQ33" s="126"/>
      <c r="DR33" s="1442"/>
      <c r="DS33" s="1441"/>
      <c r="DT33" s="1443"/>
      <c r="DU33" s="128"/>
      <c r="DV33" s="1442"/>
      <c r="DW33" s="1441"/>
      <c r="DX33" s="1443"/>
      <c r="DY33" s="126"/>
      <c r="DZ33" s="1442"/>
      <c r="EA33" s="1441"/>
      <c r="EB33" s="1443"/>
      <c r="EC33" s="128"/>
      <c r="ED33" s="1442"/>
      <c r="EE33" s="1441"/>
      <c r="EF33" s="1443"/>
      <c r="EG33" s="126"/>
      <c r="EH33" s="1442"/>
      <c r="EI33" s="1441"/>
      <c r="EJ33" s="1443"/>
      <c r="EK33" s="204"/>
      <c r="EL33" s="1442"/>
      <c r="EM33" s="1441"/>
      <c r="EN33" s="1443"/>
      <c r="EO33" s="126"/>
      <c r="EP33" s="1442"/>
      <c r="EQ33" s="1441"/>
      <c r="ER33" s="1443"/>
      <c r="ES33" s="204"/>
      <c r="ET33" s="1442"/>
      <c r="EU33" s="1441"/>
      <c r="EV33" s="1443"/>
      <c r="EW33" s="126"/>
      <c r="EX33" s="1442"/>
      <c r="EY33" s="1441"/>
      <c r="EZ33" s="1443"/>
      <c r="FA33" s="204"/>
      <c r="FB33" s="1442"/>
      <c r="FC33" s="1441"/>
      <c r="FD33" s="1443"/>
      <c r="FE33" s="126"/>
      <c r="FF33" s="1442"/>
      <c r="FG33" s="1441"/>
      <c r="FH33" s="1441"/>
      <c r="FI33" s="128"/>
      <c r="FJ33" s="1442"/>
      <c r="FK33" s="1441"/>
      <c r="FL33" s="1443"/>
      <c r="FM33" s="126"/>
      <c r="FN33" s="1442"/>
      <c r="FO33" s="1441"/>
      <c r="FP33" s="1533"/>
      <c r="FQ33" s="127"/>
      <c r="FR33" s="1442"/>
      <c r="FS33" s="1441"/>
      <c r="FT33" s="1443"/>
      <c r="FU33" s="126"/>
      <c r="FV33" s="1442"/>
      <c r="FW33" s="1441"/>
      <c r="FX33" s="1443"/>
      <c r="FY33" s="204"/>
      <c r="FZ33" s="1442"/>
      <c r="GA33" s="1441"/>
      <c r="GB33" s="1443"/>
      <c r="GC33" s="126"/>
      <c r="GD33" s="1442"/>
      <c r="GE33" s="1441"/>
      <c r="GF33" s="1443"/>
      <c r="GG33" s="204"/>
      <c r="GH33" s="1442"/>
      <c r="GI33" s="1441"/>
      <c r="GJ33" s="1443"/>
      <c r="GK33" s="126"/>
      <c r="GL33" s="1442"/>
      <c r="GM33" s="1441"/>
      <c r="GN33" s="1443"/>
      <c r="GO33" s="204"/>
      <c r="GP33" s="1442"/>
      <c r="GQ33" s="1441"/>
      <c r="GR33" s="1443"/>
      <c r="GS33" s="126"/>
      <c r="GT33" s="1442"/>
      <c r="GU33" s="1441"/>
      <c r="GV33" s="1443"/>
      <c r="GW33" s="128"/>
      <c r="GX33" s="1442"/>
      <c r="GY33" s="1441"/>
      <c r="GZ33" s="1443"/>
      <c r="HA33" s="126"/>
      <c r="HB33" s="1442"/>
      <c r="HC33" s="1441"/>
      <c r="HD33" s="1443"/>
      <c r="HE33" s="204"/>
      <c r="HF33" s="1442"/>
      <c r="HG33" s="1441"/>
      <c r="HH33" s="1443"/>
      <c r="HI33" s="126"/>
      <c r="HJ33" s="1442"/>
      <c r="HK33" s="1441"/>
      <c r="HL33" s="1443"/>
      <c r="HM33" s="204"/>
      <c r="HN33" s="1442"/>
      <c r="HO33" s="1441"/>
      <c r="HP33" s="1443"/>
      <c r="HQ33" s="126"/>
      <c r="HR33" s="1442"/>
      <c r="HS33" s="1441"/>
      <c r="HT33" s="1443"/>
      <c r="HU33" s="204"/>
      <c r="HV33" s="1442"/>
      <c r="HW33" s="1441"/>
      <c r="HX33" s="1443"/>
      <c r="HY33" s="126"/>
      <c r="HZ33" s="1442"/>
      <c r="IA33" s="1441"/>
      <c r="IB33" s="1533"/>
      <c r="IC33" s="127"/>
      <c r="ID33" s="1442"/>
      <c r="IE33" s="1441"/>
      <c r="IF33" s="1443"/>
      <c r="IG33" s="126"/>
      <c r="IH33" s="1442"/>
      <c r="II33" s="1441"/>
      <c r="IJ33" s="1443"/>
      <c r="IK33" s="127"/>
      <c r="IL33" s="1442"/>
      <c r="IM33" s="1441"/>
      <c r="IN33" s="1443"/>
      <c r="IO33" s="126"/>
      <c r="IP33" s="1442"/>
      <c r="IQ33" s="1441"/>
      <c r="IR33" s="1443"/>
      <c r="IS33" s="204"/>
      <c r="IT33" s="1441"/>
      <c r="IU33" s="1533"/>
      <c r="IV33" s="1441"/>
      <c r="IW33" s="1543"/>
      <c r="IX33" s="1442"/>
      <c r="IY33" s="1441"/>
      <c r="IZ33" s="1443"/>
      <c r="JA33" s="127"/>
      <c r="JB33" s="1442"/>
      <c r="JC33" s="1441"/>
      <c r="JD33" s="1443"/>
      <c r="JE33" s="126"/>
      <c r="JF33" s="1442"/>
      <c r="JG33" s="1441"/>
      <c r="JH33" s="1443"/>
      <c r="JI33" s="204"/>
      <c r="JJ33" s="1442"/>
      <c r="JK33" s="1441"/>
      <c r="JL33" s="1443"/>
      <c r="JM33" s="126"/>
      <c r="JN33" s="1442"/>
      <c r="JO33" s="1441"/>
      <c r="JP33" s="1443"/>
    </row>
    <row r="34" spans="1:276" ht="25.5" customHeight="1" thickBot="1" x14ac:dyDescent="0.35">
      <c r="A34" s="106"/>
      <c r="B34" s="130"/>
      <c r="C34" s="1444"/>
      <c r="D34" s="1444"/>
      <c r="E34" s="1444"/>
      <c r="F34" s="130"/>
      <c r="G34" s="1444"/>
      <c r="H34" s="1444"/>
      <c r="I34" s="1444"/>
      <c r="J34" s="105"/>
      <c r="K34" s="1421">
        <f>M34-'Федеральные  средства  по  МО'!D35</f>
        <v>0</v>
      </c>
      <c r="L34" s="1421">
        <f>Q34-'Федеральные  средства  по  МО'!E35</f>
        <v>0</v>
      </c>
      <c r="M34" s="130"/>
      <c r="N34" s="1444"/>
      <c r="O34" s="1444"/>
      <c r="P34" s="1444"/>
      <c r="Q34" s="130"/>
      <c r="R34" s="1444"/>
      <c r="S34" s="1444"/>
      <c r="T34" s="1444"/>
      <c r="U34" s="208"/>
      <c r="V34" s="1444"/>
      <c r="W34" s="1446"/>
      <c r="X34" s="1446"/>
      <c r="Y34" s="130"/>
      <c r="Z34" s="1445"/>
      <c r="AA34" s="1444"/>
      <c r="AB34" s="1446"/>
      <c r="AC34" s="208"/>
      <c r="AD34" s="1445"/>
      <c r="AE34" s="1444"/>
      <c r="AF34" s="1446"/>
      <c r="AG34" s="130"/>
      <c r="AH34" s="1445"/>
      <c r="AI34" s="1444"/>
      <c r="AJ34" s="1446"/>
      <c r="AK34" s="208"/>
      <c r="AL34" s="1445"/>
      <c r="AM34" s="1444"/>
      <c r="AN34" s="1446"/>
      <c r="AO34" s="130"/>
      <c r="AP34" s="1445"/>
      <c r="AQ34" s="1444"/>
      <c r="AR34" s="1446"/>
      <c r="AS34" s="205"/>
      <c r="AT34" s="1444"/>
      <c r="AU34" s="1444"/>
      <c r="AV34" s="1446"/>
      <c r="AW34" s="205"/>
      <c r="AX34" s="1444"/>
      <c r="AY34" s="1515"/>
      <c r="AZ34" s="1444"/>
      <c r="BA34" s="132"/>
      <c r="BB34" s="1444"/>
      <c r="BC34" s="1515"/>
      <c r="BD34" s="1444"/>
      <c r="BE34" s="131"/>
      <c r="BF34" s="1444"/>
      <c r="BG34" s="1444"/>
      <c r="BH34" s="1446"/>
      <c r="BI34" s="132"/>
      <c r="BJ34" s="1444"/>
      <c r="BK34" s="1444"/>
      <c r="BL34" s="1446"/>
      <c r="BM34" s="205"/>
      <c r="BN34" s="1444"/>
      <c r="BO34" s="1444"/>
      <c r="BP34" s="1446"/>
      <c r="BQ34" s="205"/>
      <c r="BR34" s="1444"/>
      <c r="BS34" s="1444"/>
      <c r="BT34" s="1446"/>
      <c r="BU34" s="131"/>
      <c r="BV34" s="1444"/>
      <c r="BW34" s="1444"/>
      <c r="BX34" s="1446"/>
      <c r="BY34" s="132"/>
      <c r="BZ34" s="1445"/>
      <c r="CA34" s="1444"/>
      <c r="CB34" s="1446"/>
      <c r="CC34" s="131"/>
      <c r="CD34" s="1445"/>
      <c r="CE34" s="1444"/>
      <c r="CF34" s="1446"/>
      <c r="CG34" s="205"/>
      <c r="CH34" s="1445"/>
      <c r="CI34" s="1444"/>
      <c r="CJ34" s="1446"/>
      <c r="CK34" s="131"/>
      <c r="CL34" s="1445"/>
      <c r="CM34" s="1444"/>
      <c r="CN34" s="1446"/>
      <c r="CO34" s="205"/>
      <c r="CP34" s="1445"/>
      <c r="CQ34" s="1444"/>
      <c r="CR34" s="1446"/>
      <c r="CS34" s="131"/>
      <c r="CT34" s="1445"/>
      <c r="CU34" s="1444"/>
      <c r="CV34" s="1446"/>
      <c r="CW34" s="205"/>
      <c r="CX34" s="1445"/>
      <c r="CY34" s="1444"/>
      <c r="CZ34" s="1446"/>
      <c r="DA34" s="131"/>
      <c r="DB34" s="1445"/>
      <c r="DC34" s="1444"/>
      <c r="DD34" s="1446"/>
      <c r="DE34" s="205"/>
      <c r="DF34" s="1445"/>
      <c r="DG34" s="1444"/>
      <c r="DH34" s="1446"/>
      <c r="DI34" s="131"/>
      <c r="DJ34" s="1445"/>
      <c r="DK34" s="1444"/>
      <c r="DL34" s="1446"/>
      <c r="DM34" s="205"/>
      <c r="DN34" s="1445"/>
      <c r="DO34" s="1444"/>
      <c r="DP34" s="1446"/>
      <c r="DQ34" s="131"/>
      <c r="DR34" s="1445"/>
      <c r="DS34" s="1444"/>
      <c r="DT34" s="1446"/>
      <c r="DU34" s="132"/>
      <c r="DV34" s="1445"/>
      <c r="DW34" s="1444"/>
      <c r="DX34" s="1446"/>
      <c r="DY34" s="131"/>
      <c r="DZ34" s="1445"/>
      <c r="EA34" s="1444"/>
      <c r="EB34" s="1446"/>
      <c r="EC34" s="132"/>
      <c r="ED34" s="1445"/>
      <c r="EE34" s="1444"/>
      <c r="EF34" s="1446"/>
      <c r="EG34" s="131"/>
      <c r="EH34" s="1445"/>
      <c r="EI34" s="1444"/>
      <c r="EJ34" s="1446"/>
      <c r="EK34" s="205"/>
      <c r="EL34" s="1445"/>
      <c r="EM34" s="1444"/>
      <c r="EN34" s="1446"/>
      <c r="EO34" s="131"/>
      <c r="EP34" s="1445"/>
      <c r="EQ34" s="1444"/>
      <c r="ER34" s="1446"/>
      <c r="ES34" s="205"/>
      <c r="ET34" s="1445"/>
      <c r="EU34" s="1444"/>
      <c r="EV34" s="1446"/>
      <c r="EW34" s="131"/>
      <c r="EX34" s="1445"/>
      <c r="EY34" s="1444"/>
      <c r="EZ34" s="1446"/>
      <c r="FA34" s="205"/>
      <c r="FB34" s="1445"/>
      <c r="FC34" s="1444"/>
      <c r="FD34" s="1446"/>
      <c r="FE34" s="131"/>
      <c r="FF34" s="1445"/>
      <c r="FG34" s="1444"/>
      <c r="FH34" s="1444"/>
      <c r="FI34" s="132"/>
      <c r="FJ34" s="1445"/>
      <c r="FK34" s="1444"/>
      <c r="FL34" s="1446"/>
      <c r="FM34" s="131"/>
      <c r="FN34" s="1445"/>
      <c r="FO34" s="1444"/>
      <c r="FP34" s="1515"/>
      <c r="FQ34" s="131"/>
      <c r="FR34" s="1445"/>
      <c r="FS34" s="1444"/>
      <c r="FT34" s="1446"/>
      <c r="FU34" s="131"/>
      <c r="FV34" s="1445"/>
      <c r="FW34" s="1444"/>
      <c r="FX34" s="1446"/>
      <c r="FY34" s="205"/>
      <c r="FZ34" s="1445"/>
      <c r="GA34" s="1444"/>
      <c r="GB34" s="1446"/>
      <c r="GC34" s="131"/>
      <c r="GD34" s="1445"/>
      <c r="GE34" s="1444"/>
      <c r="GF34" s="1446"/>
      <c r="GG34" s="205"/>
      <c r="GH34" s="1445"/>
      <c r="GI34" s="1444"/>
      <c r="GJ34" s="1446"/>
      <c r="GK34" s="131"/>
      <c r="GL34" s="1445"/>
      <c r="GM34" s="1444"/>
      <c r="GN34" s="1446"/>
      <c r="GO34" s="205"/>
      <c r="GP34" s="1445"/>
      <c r="GQ34" s="1444"/>
      <c r="GR34" s="1446"/>
      <c r="GS34" s="131"/>
      <c r="GT34" s="1445"/>
      <c r="GU34" s="1444"/>
      <c r="GV34" s="1446"/>
      <c r="GW34" s="132"/>
      <c r="GX34" s="1445"/>
      <c r="GY34" s="1444"/>
      <c r="GZ34" s="1446"/>
      <c r="HA34" s="131"/>
      <c r="HB34" s="1445"/>
      <c r="HC34" s="1444"/>
      <c r="HD34" s="1446"/>
      <c r="HE34" s="205"/>
      <c r="HF34" s="1445"/>
      <c r="HG34" s="1444"/>
      <c r="HH34" s="1446"/>
      <c r="HI34" s="131"/>
      <c r="HJ34" s="1445"/>
      <c r="HK34" s="1444"/>
      <c r="HL34" s="1446"/>
      <c r="HM34" s="205"/>
      <c r="HN34" s="1445"/>
      <c r="HO34" s="1444"/>
      <c r="HP34" s="1446"/>
      <c r="HQ34" s="131"/>
      <c r="HR34" s="1445"/>
      <c r="HS34" s="1444"/>
      <c r="HT34" s="1446"/>
      <c r="HU34" s="205"/>
      <c r="HV34" s="1445"/>
      <c r="HW34" s="1444"/>
      <c r="HX34" s="1446"/>
      <c r="HY34" s="131"/>
      <c r="HZ34" s="1445"/>
      <c r="IA34" s="1444"/>
      <c r="IB34" s="1515"/>
      <c r="IC34" s="131"/>
      <c r="ID34" s="1445"/>
      <c r="IE34" s="1444"/>
      <c r="IF34" s="1446"/>
      <c r="IG34" s="131"/>
      <c r="IH34" s="1445"/>
      <c r="II34" s="1444"/>
      <c r="IJ34" s="1446"/>
      <c r="IK34" s="131"/>
      <c r="IL34" s="1445"/>
      <c r="IM34" s="1444"/>
      <c r="IN34" s="1446"/>
      <c r="IO34" s="131"/>
      <c r="IP34" s="1445"/>
      <c r="IQ34" s="1444"/>
      <c r="IR34" s="1446"/>
      <c r="IS34" s="205"/>
      <c r="IT34" s="1444"/>
      <c r="IU34" s="1515"/>
      <c r="IV34" s="1444"/>
      <c r="IW34" s="1544"/>
      <c r="IX34" s="1445"/>
      <c r="IY34" s="1444"/>
      <c r="IZ34" s="1446"/>
      <c r="JA34" s="131"/>
      <c r="JB34" s="1445"/>
      <c r="JC34" s="1444"/>
      <c r="JD34" s="1446"/>
      <c r="JE34" s="131"/>
      <c r="JF34" s="1445"/>
      <c r="JG34" s="1444"/>
      <c r="JH34" s="1446"/>
      <c r="JI34" s="205"/>
      <c r="JJ34" s="1445"/>
      <c r="JK34" s="1444"/>
      <c r="JL34" s="1446"/>
      <c r="JM34" s="131"/>
      <c r="JN34" s="1445"/>
      <c r="JO34" s="1444"/>
      <c r="JP34" s="1446"/>
    </row>
    <row r="35" spans="1:276" ht="25.5" customHeight="1" thickBot="1" x14ac:dyDescent="0.35">
      <c r="A35" s="160" t="s">
        <v>36</v>
      </c>
      <c r="B35" s="110">
        <f t="shared" ref="B35" si="162">B28+B32</f>
        <v>2637520599.9899998</v>
      </c>
      <c r="C35" s="1447">
        <f t="shared" ref="C35:E35" si="163">C28+C32</f>
        <v>2372629347.29</v>
      </c>
      <c r="D35" s="1447">
        <f t="shared" si="163"/>
        <v>162308930.57000002</v>
      </c>
      <c r="E35" s="1447">
        <f t="shared" si="163"/>
        <v>102582322.13</v>
      </c>
      <c r="F35" s="110">
        <f t="shared" ref="F35:I35" si="164">F28+F32</f>
        <v>783141260.16999996</v>
      </c>
      <c r="G35" s="1447">
        <f t="shared" si="164"/>
        <v>731511726.55999994</v>
      </c>
      <c r="H35" s="1447">
        <f t="shared" si="164"/>
        <v>16707513.739999998</v>
      </c>
      <c r="I35" s="1447">
        <f t="shared" si="164"/>
        <v>34922019.869999997</v>
      </c>
      <c r="J35" s="105"/>
      <c r="K35" s="1421">
        <f>M35-'Федеральные  средства  по  МО'!D36</f>
        <v>0</v>
      </c>
      <c r="L35" s="1421">
        <f>Q35-'Федеральные  средства  по  МО'!E36</f>
        <v>0</v>
      </c>
      <c r="M35" s="110">
        <f t="shared" ref="M35:BF35" si="165">M28+M32</f>
        <v>3178537449.8400002</v>
      </c>
      <c r="N35" s="1447">
        <f t="shared" ref="N35:AB35" si="166">N28+N32</f>
        <v>2808498935.3999996</v>
      </c>
      <c r="O35" s="1447">
        <f t="shared" si="166"/>
        <v>170885723.66999999</v>
      </c>
      <c r="P35" s="1447">
        <f t="shared" si="166"/>
        <v>199152790.77000001</v>
      </c>
      <c r="Q35" s="110">
        <f t="shared" si="166"/>
        <v>1100594652.8099999</v>
      </c>
      <c r="R35" s="1447">
        <f t="shared" si="166"/>
        <v>1001657984.1500001</v>
      </c>
      <c r="S35" s="1447">
        <f t="shared" si="166"/>
        <v>19280551.669999998</v>
      </c>
      <c r="T35" s="1447">
        <f t="shared" si="166"/>
        <v>79656116.989999995</v>
      </c>
      <c r="U35" s="206">
        <f t="shared" si="166"/>
        <v>711188.46</v>
      </c>
      <c r="V35" s="1449">
        <f t="shared" si="166"/>
        <v>711188.46</v>
      </c>
      <c r="W35" s="1450">
        <f t="shared" si="166"/>
        <v>0</v>
      </c>
      <c r="X35" s="1450">
        <f t="shared" si="166"/>
        <v>0</v>
      </c>
      <c r="Y35" s="134">
        <f t="shared" si="166"/>
        <v>711188.46</v>
      </c>
      <c r="Z35" s="1448">
        <f t="shared" si="166"/>
        <v>711188.46</v>
      </c>
      <c r="AA35" s="1449">
        <f t="shared" si="166"/>
        <v>0</v>
      </c>
      <c r="AB35" s="1450">
        <f t="shared" si="166"/>
        <v>0</v>
      </c>
      <c r="AC35" s="206">
        <f t="shared" si="165"/>
        <v>540305661.38999999</v>
      </c>
      <c r="AD35" s="1448">
        <f t="shared" si="165"/>
        <v>435158399.64999998</v>
      </c>
      <c r="AE35" s="1449">
        <f t="shared" si="165"/>
        <v>8576793.0999999978</v>
      </c>
      <c r="AF35" s="1450">
        <f t="shared" si="165"/>
        <v>96570468.639999986</v>
      </c>
      <c r="AG35" s="134">
        <f t="shared" si="165"/>
        <v>316742204.18000001</v>
      </c>
      <c r="AH35" s="1448">
        <f t="shared" ref="AH35:AO35" si="167">AH28+AH32</f>
        <v>269435069.13</v>
      </c>
      <c r="AI35" s="1449">
        <f t="shared" si="167"/>
        <v>2573037.9299999997</v>
      </c>
      <c r="AJ35" s="1450">
        <f t="shared" si="167"/>
        <v>44734097.120000005</v>
      </c>
      <c r="AK35" s="206">
        <f t="shared" si="167"/>
        <v>611225000</v>
      </c>
      <c r="AL35" s="1448">
        <f t="shared" si="167"/>
        <v>611225000</v>
      </c>
      <c r="AM35" s="1449">
        <f t="shared" si="167"/>
        <v>0</v>
      </c>
      <c r="AN35" s="1450">
        <f t="shared" si="167"/>
        <v>0</v>
      </c>
      <c r="AO35" s="134">
        <f t="shared" si="167"/>
        <v>132242687.39</v>
      </c>
      <c r="AP35" s="1448">
        <f t="shared" ref="AP35:AR35" si="168">AP28+AP32</f>
        <v>132242687.39</v>
      </c>
      <c r="AQ35" s="1449">
        <f t="shared" si="168"/>
        <v>0</v>
      </c>
      <c r="AR35" s="1450">
        <f t="shared" si="168"/>
        <v>0</v>
      </c>
      <c r="AS35" s="136">
        <f t="shared" si="165"/>
        <v>2664000</v>
      </c>
      <c r="AT35" s="1449">
        <f t="shared" ref="AT35" si="169">AT28+AT32</f>
        <v>2664000</v>
      </c>
      <c r="AU35" s="1449">
        <f t="shared" ref="AU35:AV35" si="170">AU28+AU32</f>
        <v>0</v>
      </c>
      <c r="AV35" s="1450">
        <f t="shared" si="170"/>
        <v>0</v>
      </c>
      <c r="AW35" s="136">
        <f t="shared" si="165"/>
        <v>0</v>
      </c>
      <c r="AX35" s="1449">
        <f t="shared" ref="AX35" si="171">AX28+AX32</f>
        <v>0</v>
      </c>
      <c r="AY35" s="1516">
        <f t="shared" ref="AY35:AZ35" si="172">AY28+AY32</f>
        <v>0</v>
      </c>
      <c r="AZ35" s="1449">
        <f t="shared" si="172"/>
        <v>0</v>
      </c>
      <c r="BA35" s="138">
        <f t="shared" si="165"/>
        <v>363600</v>
      </c>
      <c r="BB35" s="1449">
        <f t="shared" si="165"/>
        <v>363600</v>
      </c>
      <c r="BC35" s="1516">
        <f t="shared" ref="BC35:BD35" si="173">BC28+BC32</f>
        <v>0</v>
      </c>
      <c r="BD35" s="1449">
        <f t="shared" si="173"/>
        <v>0</v>
      </c>
      <c r="BE35" s="137">
        <f t="shared" si="165"/>
        <v>0</v>
      </c>
      <c r="BF35" s="1449">
        <f t="shared" si="165"/>
        <v>0</v>
      </c>
      <c r="BG35" s="1449">
        <f t="shared" ref="BG35:BH35" si="174">BG28+BG32</f>
        <v>0</v>
      </c>
      <c r="BH35" s="1450">
        <f t="shared" si="174"/>
        <v>0</v>
      </c>
      <c r="BI35" s="138">
        <f>BI28+BI32</f>
        <v>4766000</v>
      </c>
      <c r="BJ35" s="1449">
        <f t="shared" ref="BJ35" si="175">BJ28+BJ32</f>
        <v>4766000</v>
      </c>
      <c r="BK35" s="1449">
        <f t="shared" ref="BK35:BL35" si="176">BK28+BK32</f>
        <v>0</v>
      </c>
      <c r="BL35" s="1450">
        <f t="shared" si="176"/>
        <v>0</v>
      </c>
      <c r="BM35" s="136">
        <f>BM28+BM32</f>
        <v>0</v>
      </c>
      <c r="BN35" s="1449">
        <f t="shared" ref="BN35" si="177">BN28+BN32</f>
        <v>0</v>
      </c>
      <c r="BO35" s="1449">
        <f t="shared" ref="BO35:BP35" si="178">BO28+BO32</f>
        <v>0</v>
      </c>
      <c r="BP35" s="1450">
        <f t="shared" si="178"/>
        <v>0</v>
      </c>
      <c r="BQ35" s="136">
        <f t="shared" ref="BQ35:DD35" si="179">BQ28+BQ32</f>
        <v>11438700</v>
      </c>
      <c r="BR35" s="1449">
        <f t="shared" ref="BR35" si="180">BR28+BR32</f>
        <v>11438700</v>
      </c>
      <c r="BS35" s="1449">
        <f t="shared" si="179"/>
        <v>0</v>
      </c>
      <c r="BT35" s="1450">
        <f t="shared" si="179"/>
        <v>0</v>
      </c>
      <c r="BU35" s="137">
        <f t="shared" si="179"/>
        <v>5670930.9699999997</v>
      </c>
      <c r="BV35" s="1449">
        <f t="shared" si="179"/>
        <v>5670930.9699999997</v>
      </c>
      <c r="BW35" s="1449">
        <f t="shared" si="179"/>
        <v>0</v>
      </c>
      <c r="BX35" s="1450">
        <f t="shared" si="179"/>
        <v>0</v>
      </c>
      <c r="BY35" s="138">
        <f t="shared" si="179"/>
        <v>40000000</v>
      </c>
      <c r="BZ35" s="1448">
        <f t="shared" si="179"/>
        <v>40000000</v>
      </c>
      <c r="CA35" s="1449">
        <f t="shared" si="179"/>
        <v>0</v>
      </c>
      <c r="CB35" s="1450">
        <f t="shared" si="179"/>
        <v>0</v>
      </c>
      <c r="CC35" s="137">
        <f t="shared" si="179"/>
        <v>0</v>
      </c>
      <c r="CD35" s="1448">
        <f t="shared" si="179"/>
        <v>0</v>
      </c>
      <c r="CE35" s="1449">
        <f t="shared" si="179"/>
        <v>0</v>
      </c>
      <c r="CF35" s="1450">
        <f t="shared" si="179"/>
        <v>0</v>
      </c>
      <c r="CG35" s="136">
        <f t="shared" ref="CG35:CV35" si="181">CG28+CG32</f>
        <v>25000000</v>
      </c>
      <c r="CH35" s="1448">
        <f t="shared" si="181"/>
        <v>25000000</v>
      </c>
      <c r="CI35" s="1449">
        <f t="shared" si="181"/>
        <v>0</v>
      </c>
      <c r="CJ35" s="1450">
        <f t="shared" si="181"/>
        <v>0</v>
      </c>
      <c r="CK35" s="137">
        <f t="shared" si="181"/>
        <v>1371134.02</v>
      </c>
      <c r="CL35" s="1448">
        <f t="shared" si="181"/>
        <v>1371134.02</v>
      </c>
      <c r="CM35" s="1449">
        <f t="shared" si="181"/>
        <v>0</v>
      </c>
      <c r="CN35" s="1450">
        <f t="shared" si="181"/>
        <v>0</v>
      </c>
      <c r="CO35" s="136">
        <f t="shared" si="181"/>
        <v>141345300</v>
      </c>
      <c r="CP35" s="1448">
        <f t="shared" si="181"/>
        <v>141345300</v>
      </c>
      <c r="CQ35" s="1449">
        <f t="shared" si="181"/>
        <v>0</v>
      </c>
      <c r="CR35" s="1450">
        <f t="shared" si="181"/>
        <v>0</v>
      </c>
      <c r="CS35" s="137">
        <f t="shared" si="181"/>
        <v>15502652.77</v>
      </c>
      <c r="CT35" s="1448">
        <f t="shared" si="181"/>
        <v>15502652.77</v>
      </c>
      <c r="CU35" s="1449">
        <f t="shared" si="181"/>
        <v>0</v>
      </c>
      <c r="CV35" s="1450">
        <f t="shared" si="181"/>
        <v>0</v>
      </c>
      <c r="CW35" s="136">
        <f t="shared" si="179"/>
        <v>454752300</v>
      </c>
      <c r="CX35" s="1448">
        <f t="shared" si="179"/>
        <v>454752300</v>
      </c>
      <c r="CY35" s="1449">
        <f t="shared" si="179"/>
        <v>0</v>
      </c>
      <c r="CZ35" s="1450">
        <f t="shared" si="179"/>
        <v>0</v>
      </c>
      <c r="DA35" s="137">
        <f t="shared" si="179"/>
        <v>145774205.91999999</v>
      </c>
      <c r="DB35" s="1448">
        <f t="shared" si="179"/>
        <v>145774205.91999999</v>
      </c>
      <c r="DC35" s="1449">
        <f t="shared" si="179"/>
        <v>0</v>
      </c>
      <c r="DD35" s="1450">
        <f t="shared" si="179"/>
        <v>0</v>
      </c>
      <c r="DE35" s="136">
        <f t="shared" ref="DE35:DT35" si="182">DE28+DE32</f>
        <v>0</v>
      </c>
      <c r="DF35" s="1448">
        <f t="shared" si="182"/>
        <v>0</v>
      </c>
      <c r="DG35" s="1449">
        <f t="shared" si="182"/>
        <v>0</v>
      </c>
      <c r="DH35" s="1450">
        <f t="shared" si="182"/>
        <v>0</v>
      </c>
      <c r="DI35" s="137">
        <f t="shared" si="182"/>
        <v>0</v>
      </c>
      <c r="DJ35" s="1448">
        <f t="shared" si="182"/>
        <v>0</v>
      </c>
      <c r="DK35" s="1449">
        <f t="shared" si="182"/>
        <v>0</v>
      </c>
      <c r="DL35" s="1450">
        <f t="shared" si="182"/>
        <v>0</v>
      </c>
      <c r="DM35" s="136">
        <f t="shared" si="182"/>
        <v>16640800</v>
      </c>
      <c r="DN35" s="1448">
        <f t="shared" si="182"/>
        <v>16640800</v>
      </c>
      <c r="DO35" s="1449">
        <f t="shared" si="182"/>
        <v>0</v>
      </c>
      <c r="DP35" s="1450">
        <f t="shared" si="182"/>
        <v>0</v>
      </c>
      <c r="DQ35" s="137">
        <f t="shared" si="182"/>
        <v>0</v>
      </c>
      <c r="DR35" s="1448">
        <f t="shared" si="182"/>
        <v>0</v>
      </c>
      <c r="DS35" s="1449">
        <f t="shared" si="182"/>
        <v>0</v>
      </c>
      <c r="DT35" s="1450">
        <f t="shared" si="182"/>
        <v>0</v>
      </c>
      <c r="DU35" s="138">
        <f>DU28+DU32</f>
        <v>7186299.9999999991</v>
      </c>
      <c r="DV35" s="1448">
        <f t="shared" ref="DV35:DX35" si="183">DV28+DV32</f>
        <v>1300967.25</v>
      </c>
      <c r="DW35" s="1449">
        <f t="shared" si="183"/>
        <v>5473346.1399999997</v>
      </c>
      <c r="DX35" s="1450">
        <f t="shared" si="183"/>
        <v>411986.61</v>
      </c>
      <c r="DY35" s="137">
        <f>DY28+DY32</f>
        <v>1338336.3599999999</v>
      </c>
      <c r="DZ35" s="1448">
        <f t="shared" ref="DZ35:EB35" si="184">DZ28+DZ32</f>
        <v>113828.16</v>
      </c>
      <c r="EA35" s="1449">
        <f t="shared" si="184"/>
        <v>1039616.3799999999</v>
      </c>
      <c r="EB35" s="1450">
        <f t="shared" si="184"/>
        <v>184891.82</v>
      </c>
      <c r="EC35" s="138">
        <f>EC28+EC32</f>
        <v>0</v>
      </c>
      <c r="ED35" s="1448">
        <f t="shared" ref="ED35:EF35" si="185">ED28+ED32</f>
        <v>0</v>
      </c>
      <c r="EE35" s="1449">
        <f t="shared" si="185"/>
        <v>0</v>
      </c>
      <c r="EF35" s="1450">
        <f t="shared" si="185"/>
        <v>0</v>
      </c>
      <c r="EG35" s="137">
        <f>EG28+EG32</f>
        <v>0</v>
      </c>
      <c r="EH35" s="1448">
        <f t="shared" ref="EH35:EJ35" si="186">EH28+EH32</f>
        <v>0</v>
      </c>
      <c r="EI35" s="1449">
        <f t="shared" si="186"/>
        <v>0</v>
      </c>
      <c r="EJ35" s="1450">
        <f t="shared" si="186"/>
        <v>0</v>
      </c>
      <c r="EK35" s="136">
        <f>EK28+EK32</f>
        <v>0</v>
      </c>
      <c r="EL35" s="1448">
        <f t="shared" ref="EL35:EN35" si="187">EL28+EL32</f>
        <v>0</v>
      </c>
      <c r="EM35" s="1449">
        <f t="shared" si="187"/>
        <v>0</v>
      </c>
      <c r="EN35" s="1450">
        <f t="shared" si="187"/>
        <v>0</v>
      </c>
      <c r="EO35" s="137">
        <f>EO28+EO32</f>
        <v>0</v>
      </c>
      <c r="EP35" s="1448">
        <f t="shared" ref="EP35:ER35" si="188">EP28+EP32</f>
        <v>0</v>
      </c>
      <c r="EQ35" s="1449">
        <f t="shared" si="188"/>
        <v>0</v>
      </c>
      <c r="ER35" s="1450">
        <f t="shared" si="188"/>
        <v>0</v>
      </c>
      <c r="ES35" s="136">
        <f>ES28+ES32</f>
        <v>31626400</v>
      </c>
      <c r="ET35" s="1448">
        <f t="shared" ref="ET35:EV35" si="189">ET28+ET32</f>
        <v>31626400</v>
      </c>
      <c r="EU35" s="1449">
        <f t="shared" si="189"/>
        <v>0</v>
      </c>
      <c r="EV35" s="1450">
        <f t="shared" si="189"/>
        <v>0</v>
      </c>
      <c r="EW35" s="137">
        <f>EW28+EW32</f>
        <v>0</v>
      </c>
      <c r="EX35" s="1448">
        <f t="shared" ref="EX35:EZ35" si="190">EX28+EX32</f>
        <v>0</v>
      </c>
      <c r="EY35" s="1449">
        <f t="shared" si="190"/>
        <v>0</v>
      </c>
      <c r="EZ35" s="1450">
        <f t="shared" si="190"/>
        <v>0</v>
      </c>
      <c r="FA35" s="136">
        <f>FA28+FA32</f>
        <v>4084000</v>
      </c>
      <c r="FB35" s="1448">
        <f t="shared" ref="FB35:FD35" si="191">FB28+FB32</f>
        <v>4084000</v>
      </c>
      <c r="FC35" s="1449">
        <f t="shared" si="191"/>
        <v>0</v>
      </c>
      <c r="FD35" s="1450">
        <f t="shared" si="191"/>
        <v>0</v>
      </c>
      <c r="FE35" s="137">
        <f>FE28+FE32</f>
        <v>2568051.58</v>
      </c>
      <c r="FF35" s="1448">
        <f t="shared" ref="FF35:FH35" si="192">FF28+FF32</f>
        <v>2568051.58</v>
      </c>
      <c r="FG35" s="1449">
        <f t="shared" si="192"/>
        <v>0</v>
      </c>
      <c r="FH35" s="1449">
        <f t="shared" si="192"/>
        <v>0</v>
      </c>
      <c r="FI35" s="138">
        <f>FI28+FI32</f>
        <v>18848699.989999998</v>
      </c>
      <c r="FJ35" s="1448">
        <f t="shared" ref="FJ35:FL35" si="193">FJ28+FJ32</f>
        <v>8024759.5600000005</v>
      </c>
      <c r="FK35" s="1449">
        <f t="shared" si="193"/>
        <v>7833604.9099999992</v>
      </c>
      <c r="FL35" s="1450">
        <f t="shared" si="193"/>
        <v>2990335.52</v>
      </c>
      <c r="FM35" s="137">
        <f>FM28+FM32</f>
        <v>13328033.359999999</v>
      </c>
      <c r="FN35" s="1448">
        <f t="shared" ref="FN35:FP35" si="194">FN28+FN32</f>
        <v>4120139.87</v>
      </c>
      <c r="FO35" s="1449">
        <f t="shared" si="194"/>
        <v>6862936.25</v>
      </c>
      <c r="FP35" s="1516">
        <f t="shared" si="194"/>
        <v>2344957.2400000002</v>
      </c>
      <c r="FQ35" s="137">
        <f>FQ28+FQ32</f>
        <v>24211700</v>
      </c>
      <c r="FR35" s="1448">
        <f t="shared" ref="FR35:FT35" si="195">FR28+FR32</f>
        <v>24211700</v>
      </c>
      <c r="FS35" s="1449">
        <f t="shared" si="195"/>
        <v>0</v>
      </c>
      <c r="FT35" s="1450">
        <f t="shared" si="195"/>
        <v>0</v>
      </c>
      <c r="FU35" s="137">
        <f>FU28+FU32</f>
        <v>9996648.7699999996</v>
      </c>
      <c r="FV35" s="1448">
        <f t="shared" ref="FV35:GF35" si="196">FV28+FV32</f>
        <v>9996648.7699999996</v>
      </c>
      <c r="FW35" s="1449">
        <f t="shared" si="196"/>
        <v>0</v>
      </c>
      <c r="FX35" s="1450">
        <f t="shared" si="196"/>
        <v>0</v>
      </c>
      <c r="FY35" s="136">
        <f t="shared" si="196"/>
        <v>227600</v>
      </c>
      <c r="FZ35" s="1448">
        <f t="shared" si="196"/>
        <v>222620.48</v>
      </c>
      <c r="GA35" s="1449">
        <f t="shared" si="196"/>
        <v>4979.5200000000004</v>
      </c>
      <c r="GB35" s="1450">
        <f t="shared" si="196"/>
        <v>0</v>
      </c>
      <c r="GC35" s="137">
        <f t="shared" si="196"/>
        <v>0</v>
      </c>
      <c r="GD35" s="1448">
        <f t="shared" si="196"/>
        <v>0</v>
      </c>
      <c r="GE35" s="1449">
        <f t="shared" si="196"/>
        <v>0</v>
      </c>
      <c r="GF35" s="1450">
        <f t="shared" si="196"/>
        <v>0</v>
      </c>
      <c r="GG35" s="136">
        <f>GG28+GG32</f>
        <v>45360000</v>
      </c>
      <c r="GH35" s="1448">
        <f t="shared" ref="GH35:GJ35" si="197">GH28+GH32</f>
        <v>0</v>
      </c>
      <c r="GI35" s="1449">
        <f t="shared" si="197"/>
        <v>45360000</v>
      </c>
      <c r="GJ35" s="1450">
        <f t="shared" si="197"/>
        <v>0</v>
      </c>
      <c r="GK35" s="137">
        <f>GK28+GK32</f>
        <v>3569892.9499999997</v>
      </c>
      <c r="GL35" s="1448">
        <f t="shared" ref="GL35:GN35" si="198">GL28+GL32</f>
        <v>0</v>
      </c>
      <c r="GM35" s="1449">
        <f t="shared" si="198"/>
        <v>3569892.9499999997</v>
      </c>
      <c r="GN35" s="1450">
        <f t="shared" si="198"/>
        <v>0</v>
      </c>
      <c r="GO35" s="136">
        <f t="shared" ref="GO35:IW35" si="199">GO28+GO32</f>
        <v>334532500</v>
      </c>
      <c r="GP35" s="1448">
        <f t="shared" si="199"/>
        <v>334532500</v>
      </c>
      <c r="GQ35" s="1449">
        <f t="shared" si="199"/>
        <v>0</v>
      </c>
      <c r="GR35" s="1450">
        <f t="shared" si="199"/>
        <v>0</v>
      </c>
      <c r="GS35" s="137">
        <f t="shared" si="199"/>
        <v>334532500</v>
      </c>
      <c r="GT35" s="1448">
        <f t="shared" si="199"/>
        <v>334532500</v>
      </c>
      <c r="GU35" s="1449">
        <f t="shared" si="199"/>
        <v>0</v>
      </c>
      <c r="GV35" s="1450">
        <f t="shared" si="199"/>
        <v>0</v>
      </c>
      <c r="GW35" s="138">
        <f t="shared" si="199"/>
        <v>35042600</v>
      </c>
      <c r="GX35" s="1448">
        <f t="shared" si="199"/>
        <v>35042600</v>
      </c>
      <c r="GY35" s="1449">
        <f t="shared" si="199"/>
        <v>0</v>
      </c>
      <c r="GZ35" s="1450">
        <f t="shared" si="199"/>
        <v>0</v>
      </c>
      <c r="HA35" s="137">
        <f t="shared" si="199"/>
        <v>9063599.5299999993</v>
      </c>
      <c r="HB35" s="1448">
        <f t="shared" si="199"/>
        <v>9063599.5299999993</v>
      </c>
      <c r="HC35" s="1449">
        <f t="shared" si="199"/>
        <v>0</v>
      </c>
      <c r="HD35" s="1450">
        <f t="shared" si="199"/>
        <v>0</v>
      </c>
      <c r="HE35" s="136">
        <f t="shared" si="199"/>
        <v>0</v>
      </c>
      <c r="HF35" s="1448">
        <f t="shared" si="199"/>
        <v>0</v>
      </c>
      <c r="HG35" s="1449">
        <f t="shared" si="199"/>
        <v>0</v>
      </c>
      <c r="HH35" s="1450">
        <f t="shared" si="199"/>
        <v>0</v>
      </c>
      <c r="HI35" s="137">
        <f t="shared" si="199"/>
        <v>0</v>
      </c>
      <c r="HJ35" s="1448">
        <f t="shared" si="199"/>
        <v>0</v>
      </c>
      <c r="HK35" s="1449">
        <f t="shared" si="199"/>
        <v>0</v>
      </c>
      <c r="HL35" s="1450">
        <f t="shared" si="199"/>
        <v>0</v>
      </c>
      <c r="HM35" s="136">
        <f>HM28+HM32</f>
        <v>0</v>
      </c>
      <c r="HN35" s="1448">
        <f t="shared" ref="HN35:HP35" si="200">HN28+HN32</f>
        <v>0</v>
      </c>
      <c r="HO35" s="1449">
        <f t="shared" si="200"/>
        <v>0</v>
      </c>
      <c r="HP35" s="1450">
        <f t="shared" si="200"/>
        <v>0</v>
      </c>
      <c r="HQ35" s="137">
        <f>HQ28+HQ32</f>
        <v>0</v>
      </c>
      <c r="HR35" s="1448">
        <f t="shared" ref="HR35:HT35" si="201">HR28+HR32</f>
        <v>0</v>
      </c>
      <c r="HS35" s="1449">
        <f t="shared" si="201"/>
        <v>0</v>
      </c>
      <c r="HT35" s="1450">
        <f t="shared" si="201"/>
        <v>0</v>
      </c>
      <c r="HU35" s="136">
        <f t="shared" si="199"/>
        <v>319736500</v>
      </c>
      <c r="HV35" s="1448">
        <f t="shared" si="199"/>
        <v>220556500</v>
      </c>
      <c r="HW35" s="1449">
        <f t="shared" si="199"/>
        <v>0</v>
      </c>
      <c r="HX35" s="1450">
        <f t="shared" si="199"/>
        <v>99180000</v>
      </c>
      <c r="HY35" s="137">
        <f t="shared" si="199"/>
        <v>58333822.579999998</v>
      </c>
      <c r="HZ35" s="1448">
        <f t="shared" si="199"/>
        <v>25941651.77</v>
      </c>
      <c r="IA35" s="1449">
        <f t="shared" si="199"/>
        <v>0</v>
      </c>
      <c r="IB35" s="1516">
        <f t="shared" si="199"/>
        <v>32392170.810000002</v>
      </c>
      <c r="IC35" s="137">
        <f t="shared" si="199"/>
        <v>83595200</v>
      </c>
      <c r="ID35" s="1448">
        <f t="shared" si="199"/>
        <v>0</v>
      </c>
      <c r="IE35" s="1449">
        <f t="shared" si="199"/>
        <v>83595200</v>
      </c>
      <c r="IF35" s="1450">
        <f t="shared" si="199"/>
        <v>0</v>
      </c>
      <c r="IG35" s="137">
        <f t="shared" si="199"/>
        <v>5235068.1599999992</v>
      </c>
      <c r="IH35" s="1448">
        <f t="shared" si="199"/>
        <v>0</v>
      </c>
      <c r="II35" s="1449">
        <f t="shared" si="199"/>
        <v>5235068.1599999992</v>
      </c>
      <c r="IJ35" s="1450">
        <f t="shared" si="199"/>
        <v>0</v>
      </c>
      <c r="IK35" s="137">
        <f t="shared" si="199"/>
        <v>112160600</v>
      </c>
      <c r="IL35" s="1448">
        <f t="shared" si="199"/>
        <v>112160600</v>
      </c>
      <c r="IM35" s="1449">
        <f t="shared" si="199"/>
        <v>0</v>
      </c>
      <c r="IN35" s="1450">
        <f t="shared" si="199"/>
        <v>0</v>
      </c>
      <c r="IO35" s="137">
        <f t="shared" si="199"/>
        <v>32194859.629999999</v>
      </c>
      <c r="IP35" s="1448">
        <f t="shared" si="199"/>
        <v>32194859.629999999</v>
      </c>
      <c r="IQ35" s="1449">
        <f t="shared" si="199"/>
        <v>0</v>
      </c>
      <c r="IR35" s="1450">
        <f t="shared" si="199"/>
        <v>0</v>
      </c>
      <c r="IS35" s="136">
        <f t="shared" si="199"/>
        <v>20041800</v>
      </c>
      <c r="IT35" s="1449">
        <f t="shared" si="199"/>
        <v>0</v>
      </c>
      <c r="IU35" s="1516">
        <f t="shared" si="199"/>
        <v>20041800</v>
      </c>
      <c r="IV35" s="1449">
        <f t="shared" si="199"/>
        <v>0</v>
      </c>
      <c r="IW35" s="1545">
        <f t="shared" si="199"/>
        <v>0</v>
      </c>
      <c r="IX35" s="1448">
        <f t="shared" ref="IX35:IZ35" si="202">IX28+IX32</f>
        <v>0</v>
      </c>
      <c r="IY35" s="1449">
        <f t="shared" si="202"/>
        <v>0</v>
      </c>
      <c r="IZ35" s="1450">
        <f t="shared" si="202"/>
        <v>0</v>
      </c>
      <c r="JA35" s="137">
        <f t="shared" ref="JA35:JP35" si="203">JA28+JA32</f>
        <v>9594700</v>
      </c>
      <c r="JB35" s="1448">
        <f t="shared" si="203"/>
        <v>9594700</v>
      </c>
      <c r="JC35" s="1449">
        <f t="shared" si="203"/>
        <v>0</v>
      </c>
      <c r="JD35" s="1450">
        <f t="shared" si="203"/>
        <v>0</v>
      </c>
      <c r="JE35" s="137">
        <f t="shared" si="203"/>
        <v>0</v>
      </c>
      <c r="JF35" s="1448">
        <f t="shared" si="203"/>
        <v>0</v>
      </c>
      <c r="JG35" s="1449">
        <f t="shared" si="203"/>
        <v>0</v>
      </c>
      <c r="JH35" s="1450">
        <f t="shared" si="203"/>
        <v>0</v>
      </c>
      <c r="JI35" s="136">
        <f t="shared" si="203"/>
        <v>283076300</v>
      </c>
      <c r="JJ35" s="1448">
        <f t="shared" si="203"/>
        <v>283076300</v>
      </c>
      <c r="JK35" s="1449">
        <f t="shared" si="203"/>
        <v>0</v>
      </c>
      <c r="JL35" s="1450">
        <f t="shared" si="203"/>
        <v>0</v>
      </c>
      <c r="JM35" s="137">
        <f t="shared" si="203"/>
        <v>12418836.18</v>
      </c>
      <c r="JN35" s="1448">
        <f t="shared" si="203"/>
        <v>12418836.18</v>
      </c>
      <c r="JO35" s="1449">
        <f t="shared" si="203"/>
        <v>0</v>
      </c>
      <c r="JP35" s="1450">
        <f t="shared" si="203"/>
        <v>0</v>
      </c>
    </row>
    <row r="36" spans="1:276" s="164" customFormat="1" ht="16.8" x14ac:dyDescent="0.3">
      <c r="A36" s="87"/>
      <c r="B36" s="1616">
        <f>M35-AC35-B35-U35</f>
        <v>5.1502138376235962E-7</v>
      </c>
      <c r="C36" s="1617"/>
      <c r="D36" s="1617"/>
      <c r="E36" s="1617"/>
      <c r="F36" s="1616">
        <f>Q35-AG35-F35-Y35</f>
        <v>-8.1025063991546631E-8</v>
      </c>
      <c r="G36" s="87"/>
      <c r="H36" s="87"/>
      <c r="I36" s="87"/>
      <c r="J36" s="87"/>
      <c r="K36" s="87"/>
      <c r="L36" s="87"/>
      <c r="M36" s="139">
        <f>M35-N35-O35-P35</f>
        <v>5.3644180297851563E-7</v>
      </c>
      <c r="N36" s="159"/>
      <c r="O36" s="159"/>
      <c r="P36" s="159"/>
      <c r="Q36" s="139">
        <f>Q35-R35-S35-T35</f>
        <v>-1.4901161193847656E-7</v>
      </c>
      <c r="R36" s="159"/>
      <c r="S36" s="159"/>
      <c r="T36" s="159"/>
      <c r="U36" s="139">
        <f>U35-V35-W35-X35</f>
        <v>0</v>
      </c>
      <c r="V36" s="139"/>
      <c r="W36" s="139"/>
      <c r="X36" s="139"/>
      <c r="Y36" s="139">
        <f>Y35-Z35-AA35-AB35</f>
        <v>0</v>
      </c>
      <c r="Z36" s="139"/>
      <c r="AA36" s="139"/>
      <c r="AB36" s="139"/>
      <c r="AC36" s="139">
        <f>AC35-AD35-AE35-AF35</f>
        <v>0</v>
      </c>
      <c r="AD36" s="139"/>
      <c r="AE36" s="139"/>
      <c r="AF36" s="139"/>
      <c r="AG36" s="139">
        <f>AG35-AH35-AI35-AJ35</f>
        <v>0</v>
      </c>
      <c r="AH36" s="139"/>
      <c r="AI36" s="139"/>
      <c r="AJ36" s="139"/>
      <c r="AK36" s="139">
        <f>AK35-AL35-AM35-AN35</f>
        <v>0</v>
      </c>
      <c r="AL36" s="139"/>
      <c r="AM36" s="139"/>
      <c r="AN36" s="139"/>
      <c r="AO36" s="139">
        <f>AO35-AP35-AQ35-AR35</f>
        <v>0</v>
      </c>
      <c r="AP36" s="139"/>
      <c r="AQ36" s="139"/>
      <c r="AR36" s="139"/>
      <c r="AS36" s="139">
        <f>AS35-AT35-AU35-AV35</f>
        <v>0</v>
      </c>
      <c r="AT36" s="141"/>
      <c r="AU36" s="141"/>
      <c r="AV36" s="141"/>
      <c r="AW36" s="139">
        <f>AW35-AX35-AY35-AZ35</f>
        <v>0</v>
      </c>
      <c r="AX36" s="141"/>
      <c r="AY36" s="141"/>
      <c r="AZ36" s="141"/>
      <c r="BA36" s="139">
        <f>BA35-BB35-BC35-BD35</f>
        <v>0</v>
      </c>
      <c r="BB36" s="141"/>
      <c r="BC36" s="141"/>
      <c r="BD36" s="141"/>
      <c r="BE36" s="139">
        <f>BE35-BF35-BG35-BH35</f>
        <v>0</v>
      </c>
      <c r="BF36" s="141"/>
      <c r="BG36" s="141"/>
      <c r="BH36" s="141"/>
      <c r="BI36" s="139">
        <f>BI35-BJ35-BK35-BL35</f>
        <v>0</v>
      </c>
      <c r="BJ36" s="141"/>
      <c r="BK36" s="141"/>
      <c r="BL36" s="141"/>
      <c r="BM36" s="139">
        <f>BM35-BN35-BO35-BP35</f>
        <v>0</v>
      </c>
      <c r="BN36" s="141"/>
      <c r="BO36" s="141"/>
      <c r="BP36" s="141"/>
      <c r="BQ36" s="139">
        <f>BQ35-BR35-BS35-BT35</f>
        <v>0</v>
      </c>
      <c r="BR36" s="141"/>
      <c r="BS36" s="141"/>
      <c r="BT36" s="141"/>
      <c r="BU36" s="139">
        <f>BU35-BV35-BW35-BX35</f>
        <v>0</v>
      </c>
      <c r="BV36" s="141"/>
      <c r="BW36" s="141"/>
      <c r="BX36" s="141"/>
      <c r="BY36" s="139">
        <f>BY35-BZ35-CA35-CB35</f>
        <v>0</v>
      </c>
      <c r="BZ36" s="141"/>
      <c r="CA36" s="141"/>
      <c r="CB36" s="141"/>
      <c r="CC36" s="139">
        <f>CC35-CD35-CE35-CF35</f>
        <v>0</v>
      </c>
      <c r="CD36" s="141"/>
      <c r="CE36" s="141"/>
      <c r="CF36" s="141"/>
      <c r="CG36" s="139">
        <f>CG35-CH35-CI35-CJ35</f>
        <v>0</v>
      </c>
      <c r="CH36" s="141"/>
      <c r="CI36" s="141"/>
      <c r="CJ36" s="141"/>
      <c r="CK36" s="139">
        <f>CK35-CL35-CM35-CN35</f>
        <v>0</v>
      </c>
      <c r="CL36" s="141"/>
      <c r="CM36" s="141"/>
      <c r="CN36" s="141"/>
      <c r="CO36" s="139">
        <f>CO35-CP35-CQ35-CR35</f>
        <v>0</v>
      </c>
      <c r="CP36" s="141"/>
      <c r="CQ36" s="141"/>
      <c r="CR36" s="141"/>
      <c r="CS36" s="139">
        <f>CS35-CT35-CU35-CV35</f>
        <v>0</v>
      </c>
      <c r="CT36" s="141"/>
      <c r="CU36" s="141"/>
      <c r="CV36" s="141"/>
      <c r="CW36" s="139">
        <f>CW35-CX35-CY35-CZ35</f>
        <v>0</v>
      </c>
      <c r="CX36" s="141"/>
      <c r="CY36" s="141"/>
      <c r="CZ36" s="141"/>
      <c r="DA36" s="139">
        <f>DA35-DB35-DC35-DD35</f>
        <v>0</v>
      </c>
      <c r="DB36" s="141"/>
      <c r="DC36" s="141"/>
      <c r="DD36" s="141"/>
      <c r="DE36" s="139">
        <f>DE35-DF35-DG35-DH35</f>
        <v>0</v>
      </c>
      <c r="DF36" s="141"/>
      <c r="DG36" s="141"/>
      <c r="DH36" s="141"/>
      <c r="DI36" s="139">
        <f>DI35-DJ35-DK35-DL35</f>
        <v>0</v>
      </c>
      <c r="DJ36" s="141"/>
      <c r="DK36" s="141"/>
      <c r="DL36" s="141"/>
      <c r="DM36" s="139">
        <f>DM35-DN35-DO35-DP35</f>
        <v>0</v>
      </c>
      <c r="DN36" s="141"/>
      <c r="DO36" s="141"/>
      <c r="DP36" s="141"/>
      <c r="DQ36" s="139">
        <f>DQ35-DR35-DS35-DT35</f>
        <v>0</v>
      </c>
      <c r="DR36" s="141"/>
      <c r="DS36" s="141"/>
      <c r="DT36" s="141"/>
      <c r="DU36" s="139">
        <f>DU35-DV35-DW35-DX35</f>
        <v>-5.8207660913467407E-10</v>
      </c>
      <c r="DV36" s="141"/>
      <c r="DW36" s="141"/>
      <c r="DX36" s="141"/>
      <c r="DY36" s="139">
        <f>DY35-DZ35-EA35-EB35</f>
        <v>0</v>
      </c>
      <c r="DZ36" s="141"/>
      <c r="EA36" s="141"/>
      <c r="EB36" s="141"/>
      <c r="EC36" s="139">
        <f>EC35-ED35-EE35-EF35</f>
        <v>0</v>
      </c>
      <c r="ED36" s="141"/>
      <c r="EE36" s="141"/>
      <c r="EF36" s="141"/>
      <c r="EG36" s="139">
        <f>EG35-EH35-EI35-EJ35</f>
        <v>0</v>
      </c>
      <c r="EH36" s="141"/>
      <c r="EI36" s="141"/>
      <c r="EJ36" s="141"/>
      <c r="EK36" s="139">
        <f>EK35-EL35-EM35-EN35</f>
        <v>0</v>
      </c>
      <c r="EL36" s="141"/>
      <c r="EM36" s="141"/>
      <c r="EN36" s="141"/>
      <c r="EO36" s="139">
        <f>EO35-EP35-EQ35-ER35</f>
        <v>0</v>
      </c>
      <c r="EP36" s="141"/>
      <c r="EQ36" s="141"/>
      <c r="ER36" s="141"/>
      <c r="ES36" s="139">
        <f>ES35-ET35-EU35-EV35</f>
        <v>0</v>
      </c>
      <c r="ET36" s="141"/>
      <c r="EU36" s="141"/>
      <c r="EV36" s="141"/>
      <c r="EW36" s="139">
        <f>EW35-EX35-EY35-EZ35</f>
        <v>0</v>
      </c>
      <c r="EX36" s="141"/>
      <c r="EY36" s="141"/>
      <c r="EZ36" s="141"/>
      <c r="FA36" s="139">
        <f>FA35-FB35-FC35-FD35</f>
        <v>0</v>
      </c>
      <c r="FB36" s="141"/>
      <c r="FC36" s="141"/>
      <c r="FD36" s="141"/>
      <c r="FE36" s="139">
        <f>FE35-FF35-FG35-FH35</f>
        <v>0</v>
      </c>
      <c r="FF36" s="141"/>
      <c r="FG36" s="141"/>
      <c r="FH36" s="141"/>
      <c r="FI36" s="139">
        <f>FI35-FJ35-FK35-FL35</f>
        <v>0</v>
      </c>
      <c r="FJ36" s="141"/>
      <c r="FK36" s="141"/>
      <c r="FL36" s="141"/>
      <c r="FM36" s="139">
        <f>FM35-FN35-FO35-FP35</f>
        <v>0</v>
      </c>
      <c r="FN36" s="141"/>
      <c r="FO36" s="141"/>
      <c r="FP36" s="141"/>
      <c r="FQ36" s="139">
        <f>FQ35-FR35-FS35-FT35</f>
        <v>0</v>
      </c>
      <c r="FR36" s="141"/>
      <c r="FS36" s="141"/>
      <c r="FT36" s="141"/>
      <c r="FU36" s="139">
        <f>FU35-FV35-FW35-FX35</f>
        <v>0</v>
      </c>
      <c r="FV36" s="141"/>
      <c r="FW36" s="141"/>
      <c r="FX36" s="141"/>
      <c r="FY36" s="139">
        <f>FY35-FZ35-GA35-GB35</f>
        <v>-1.0913936421275139E-11</v>
      </c>
      <c r="FZ36" s="141"/>
      <c r="GA36" s="141"/>
      <c r="GB36" s="141"/>
      <c r="GC36" s="139">
        <f>GC35-GD35-GE35-GF35</f>
        <v>0</v>
      </c>
      <c r="GD36" s="141"/>
      <c r="GE36" s="141"/>
      <c r="GF36" s="141"/>
      <c r="GG36" s="139">
        <f>GG35-GH35-GI35-GJ35</f>
        <v>0</v>
      </c>
      <c r="GH36" s="141"/>
      <c r="GI36" s="141"/>
      <c r="GJ36" s="141"/>
      <c r="GK36" s="139">
        <f>GK35-GL35-GM35-GN35</f>
        <v>0</v>
      </c>
      <c r="GL36" s="141"/>
      <c r="GM36" s="141"/>
      <c r="GN36" s="141"/>
      <c r="GO36" s="139">
        <f>GO35-GP35-GQ35-GR35</f>
        <v>0</v>
      </c>
      <c r="GP36" s="141"/>
      <c r="GQ36" s="141"/>
      <c r="GR36" s="141"/>
      <c r="GS36" s="139">
        <f>GS35-GT35-GU35-GV35</f>
        <v>0</v>
      </c>
      <c r="GT36" s="141"/>
      <c r="GU36" s="141"/>
      <c r="GV36" s="141"/>
      <c r="GW36" s="139">
        <f>GW35-GX35-GY35-GZ35</f>
        <v>0</v>
      </c>
      <c r="GX36" s="141"/>
      <c r="GY36" s="141"/>
      <c r="GZ36" s="141"/>
      <c r="HA36" s="139">
        <f>HA35-HB35-HC35-HD35</f>
        <v>0</v>
      </c>
      <c r="HB36" s="141"/>
      <c r="HC36" s="141"/>
      <c r="HD36" s="141"/>
      <c r="HE36" s="139">
        <f>HE35-HF35-HG35-HH35</f>
        <v>0</v>
      </c>
      <c r="HF36" s="141"/>
      <c r="HG36" s="141"/>
      <c r="HH36" s="141"/>
      <c r="HI36" s="139">
        <f>HI35-HJ35-HK35-HL35</f>
        <v>0</v>
      </c>
      <c r="HJ36" s="141"/>
      <c r="HK36" s="141"/>
      <c r="HL36" s="141"/>
      <c r="HM36" s="139">
        <f>HM35-HN35-HO35-HP35</f>
        <v>0</v>
      </c>
      <c r="HN36" s="141"/>
      <c r="HO36" s="141"/>
      <c r="HP36" s="141"/>
      <c r="HQ36" s="139">
        <f>HQ35-HR35-HS35-HT35</f>
        <v>0</v>
      </c>
      <c r="HR36" s="141"/>
      <c r="HS36" s="141"/>
      <c r="HT36" s="141"/>
      <c r="HU36" s="139">
        <f>HU35-HV35-HW35-HX35</f>
        <v>0</v>
      </c>
      <c r="HV36" s="141"/>
      <c r="HW36" s="141"/>
      <c r="HX36" s="141"/>
      <c r="HY36" s="139">
        <f>HY35-HZ35-IA35-IB35</f>
        <v>0</v>
      </c>
      <c r="HZ36" s="141"/>
      <c r="IA36" s="141"/>
      <c r="IB36" s="141"/>
      <c r="IC36" s="139">
        <f>IC35-ID35-IE35-IF35</f>
        <v>0</v>
      </c>
      <c r="ID36" s="141"/>
      <c r="IE36" s="141"/>
      <c r="IF36" s="141"/>
      <c r="IG36" s="139">
        <f>IG35-IH35-II35-IJ35</f>
        <v>0</v>
      </c>
      <c r="IH36" s="141"/>
      <c r="II36" s="141"/>
      <c r="IJ36" s="141"/>
      <c r="IK36" s="139">
        <f>IK35-IL35-IM35-IN35</f>
        <v>0</v>
      </c>
      <c r="IL36" s="141"/>
      <c r="IM36" s="141"/>
      <c r="IN36" s="141"/>
      <c r="IO36" s="139">
        <f>IO35-IP35-IQ35-IR35</f>
        <v>0</v>
      </c>
      <c r="IP36" s="141"/>
      <c r="IQ36" s="141"/>
      <c r="IR36" s="141"/>
      <c r="IS36" s="139">
        <f>IS35-IT35-IU35-IV35</f>
        <v>0</v>
      </c>
      <c r="IT36" s="141"/>
      <c r="IU36" s="141"/>
      <c r="IV36" s="141"/>
      <c r="IW36" s="139">
        <f>IW35-IX35-IY35-IZ35</f>
        <v>0</v>
      </c>
      <c r="IX36" s="141"/>
      <c r="IY36" s="141"/>
      <c r="IZ36" s="141"/>
      <c r="JA36" s="139">
        <f>JA35-JB35-JC35-JD35</f>
        <v>0</v>
      </c>
      <c r="JB36" s="141"/>
      <c r="JC36" s="141"/>
      <c r="JD36" s="141"/>
      <c r="JE36" s="139">
        <f>JE35-JF35-JG35-JH35</f>
        <v>0</v>
      </c>
      <c r="JF36" s="141"/>
      <c r="JG36" s="141"/>
      <c r="JH36" s="141"/>
      <c r="JI36" s="139">
        <f>JI35-JJ35-JK35-JL35</f>
        <v>0</v>
      </c>
      <c r="JJ36" s="141"/>
      <c r="JK36" s="141"/>
      <c r="JL36" s="141"/>
      <c r="JM36" s="139">
        <f>JM35-JN35-JO35-JP35</f>
        <v>0</v>
      </c>
      <c r="JN36" s="141"/>
      <c r="JO36" s="141"/>
      <c r="JP36" s="141"/>
    </row>
    <row r="37" spans="1:276" s="165" customFormat="1" ht="36" customHeight="1" x14ac:dyDescent="0.3">
      <c r="A37" s="1451"/>
      <c r="B37" s="1618">
        <f>B35-'Федеральные  средства  по  МО'!D38</f>
        <v>0</v>
      </c>
      <c r="C37" s="1619"/>
      <c r="D37" s="1619"/>
      <c r="E37" s="1619"/>
      <c r="F37" s="1618">
        <f>F35-'Федеральные  средства  по  МО'!E38</f>
        <v>0</v>
      </c>
      <c r="G37" s="1451"/>
      <c r="H37" s="1451"/>
      <c r="I37" s="1451"/>
      <c r="J37" s="1451"/>
      <c r="K37" s="1451"/>
      <c r="L37" s="1451"/>
      <c r="M37" s="159">
        <f>M35-'Федеральные  средства  по  МО'!D36</f>
        <v>0</v>
      </c>
      <c r="N37" s="1452"/>
      <c r="O37" s="1452"/>
      <c r="P37" s="1452"/>
      <c r="Q37" s="159">
        <f>Q35-'Федеральные  средства  по  МО'!E36</f>
        <v>0</v>
      </c>
      <c r="R37" s="1452"/>
      <c r="S37" s="1452"/>
      <c r="T37" s="1452"/>
      <c r="U37" s="1848" t="s">
        <v>820</v>
      </c>
      <c r="V37" s="1931"/>
      <c r="W37" s="1931"/>
      <c r="X37" s="1931"/>
      <c r="Y37" s="1931"/>
      <c r="Z37" s="1931"/>
      <c r="AA37" s="1931"/>
      <c r="AB37" s="1849"/>
      <c r="AC37" s="1848" t="s">
        <v>734</v>
      </c>
      <c r="AD37" s="1931"/>
      <c r="AE37" s="1931"/>
      <c r="AF37" s="1931"/>
      <c r="AG37" s="1931"/>
      <c r="AH37" s="1931"/>
      <c r="AI37" s="1931"/>
      <c r="AJ37" s="1849"/>
      <c r="AK37" s="1848" t="s">
        <v>575</v>
      </c>
      <c r="AL37" s="1931"/>
      <c r="AM37" s="1931"/>
      <c r="AN37" s="1931"/>
      <c r="AO37" s="1931"/>
      <c r="AP37" s="1931"/>
      <c r="AQ37" s="1931"/>
      <c r="AR37" s="1849"/>
      <c r="AS37" s="1848" t="s">
        <v>809</v>
      </c>
      <c r="AT37" s="1931"/>
      <c r="AU37" s="1931"/>
      <c r="AV37" s="1931"/>
      <c r="AW37" s="1931"/>
      <c r="AX37" s="1931"/>
      <c r="AY37" s="1931"/>
      <c r="AZ37" s="1849"/>
      <c r="BA37" s="1848" t="s">
        <v>810</v>
      </c>
      <c r="BB37" s="1931"/>
      <c r="BC37" s="1931"/>
      <c r="BD37" s="1931"/>
      <c r="BE37" s="1931"/>
      <c r="BF37" s="1931"/>
      <c r="BG37" s="1931"/>
      <c r="BH37" s="1849"/>
      <c r="BI37" s="1848" t="s">
        <v>811</v>
      </c>
      <c r="BJ37" s="1931"/>
      <c r="BK37" s="1931"/>
      <c r="BL37" s="1931"/>
      <c r="BM37" s="1931"/>
      <c r="BN37" s="1931"/>
      <c r="BO37" s="1931"/>
      <c r="BP37" s="1849"/>
      <c r="BQ37" s="1848" t="s">
        <v>512</v>
      </c>
      <c r="BR37" s="1931"/>
      <c r="BS37" s="1931"/>
      <c r="BT37" s="1931"/>
      <c r="BU37" s="1931"/>
      <c r="BV37" s="1931"/>
      <c r="BW37" s="1931"/>
      <c r="BX37" s="1849"/>
      <c r="BY37" s="1848" t="s">
        <v>812</v>
      </c>
      <c r="BZ37" s="1931"/>
      <c r="CA37" s="1931"/>
      <c r="CB37" s="1931"/>
      <c r="CC37" s="1931"/>
      <c r="CD37" s="1931"/>
      <c r="CE37" s="1931"/>
      <c r="CF37" s="1849"/>
      <c r="CG37" s="1848" t="s">
        <v>514</v>
      </c>
      <c r="CH37" s="1931"/>
      <c r="CI37" s="1931"/>
      <c r="CJ37" s="1931"/>
      <c r="CK37" s="1931"/>
      <c r="CL37" s="1931"/>
      <c r="CM37" s="1931"/>
      <c r="CN37" s="1849"/>
      <c r="CO37" s="1848" t="s">
        <v>515</v>
      </c>
      <c r="CP37" s="1931"/>
      <c r="CQ37" s="1931"/>
      <c r="CR37" s="1931"/>
      <c r="CS37" s="1931"/>
      <c r="CT37" s="1931"/>
      <c r="CU37" s="1931"/>
      <c r="CV37" s="1849"/>
      <c r="CW37" s="1848" t="s">
        <v>516</v>
      </c>
      <c r="CX37" s="1931"/>
      <c r="CY37" s="1931"/>
      <c r="CZ37" s="1931"/>
      <c r="DA37" s="1931"/>
      <c r="DB37" s="1931"/>
      <c r="DC37" s="1931"/>
      <c r="DD37" s="1849"/>
      <c r="DE37" s="1848" t="s">
        <v>517</v>
      </c>
      <c r="DF37" s="1931"/>
      <c r="DG37" s="1931"/>
      <c r="DH37" s="1931"/>
      <c r="DI37" s="1931"/>
      <c r="DJ37" s="1931"/>
      <c r="DK37" s="1931"/>
      <c r="DL37" s="1849"/>
      <c r="DM37" s="1848" t="s">
        <v>788</v>
      </c>
      <c r="DN37" s="1931"/>
      <c r="DO37" s="1931"/>
      <c r="DP37" s="1931"/>
      <c r="DQ37" s="1931"/>
      <c r="DR37" s="1931"/>
      <c r="DS37" s="1931"/>
      <c r="DT37" s="1849"/>
      <c r="DU37" s="1848" t="s">
        <v>569</v>
      </c>
      <c r="DV37" s="1931"/>
      <c r="DW37" s="1931"/>
      <c r="DX37" s="1931"/>
      <c r="DY37" s="1931"/>
      <c r="DZ37" s="1931"/>
      <c r="EA37" s="1931"/>
      <c r="EB37" s="1849"/>
      <c r="EC37" s="1848" t="s">
        <v>772</v>
      </c>
      <c r="ED37" s="1931"/>
      <c r="EE37" s="1931"/>
      <c r="EF37" s="1931"/>
      <c r="EG37" s="1931"/>
      <c r="EH37" s="1931"/>
      <c r="EI37" s="1931"/>
      <c r="EJ37" s="1849"/>
      <c r="EK37" s="1848" t="s">
        <v>852</v>
      </c>
      <c r="EL37" s="1931"/>
      <c r="EM37" s="1931"/>
      <c r="EN37" s="1931"/>
      <c r="EO37" s="1931"/>
      <c r="EP37" s="1931"/>
      <c r="EQ37" s="1931"/>
      <c r="ER37" s="1849"/>
      <c r="ES37" s="1848" t="s">
        <v>900</v>
      </c>
      <c r="ET37" s="1931"/>
      <c r="EU37" s="1931"/>
      <c r="EV37" s="1931"/>
      <c r="EW37" s="1931"/>
      <c r="EX37" s="1931"/>
      <c r="EY37" s="1931"/>
      <c r="EZ37" s="1849"/>
      <c r="FA37" s="1848" t="s">
        <v>813</v>
      </c>
      <c r="FB37" s="1931"/>
      <c r="FC37" s="1931"/>
      <c r="FD37" s="1931"/>
      <c r="FE37" s="1931"/>
      <c r="FF37" s="1931"/>
      <c r="FG37" s="1931"/>
      <c r="FH37" s="1849"/>
      <c r="FI37" s="1848" t="s">
        <v>814</v>
      </c>
      <c r="FJ37" s="1931"/>
      <c r="FK37" s="1931"/>
      <c r="FL37" s="1931"/>
      <c r="FM37" s="1931"/>
      <c r="FN37" s="1931"/>
      <c r="FO37" s="1931"/>
      <c r="FP37" s="1849"/>
      <c r="FQ37" s="1848" t="s">
        <v>557</v>
      </c>
      <c r="FR37" s="1931"/>
      <c r="FS37" s="1931"/>
      <c r="FT37" s="1931"/>
      <c r="FU37" s="1931"/>
      <c r="FV37" s="1931"/>
      <c r="FW37" s="1931"/>
      <c r="FX37" s="1849"/>
      <c r="FY37" s="1848" t="s">
        <v>815</v>
      </c>
      <c r="FZ37" s="1931"/>
      <c r="GA37" s="1931"/>
      <c r="GB37" s="1931"/>
      <c r="GC37" s="1931"/>
      <c r="GD37" s="1931"/>
      <c r="GE37" s="1931"/>
      <c r="GF37" s="1849"/>
      <c r="GG37" s="1848" t="s">
        <v>521</v>
      </c>
      <c r="GH37" s="1931"/>
      <c r="GI37" s="1931"/>
      <c r="GJ37" s="1931"/>
      <c r="GK37" s="1931"/>
      <c r="GL37" s="1931"/>
      <c r="GM37" s="1931"/>
      <c r="GN37" s="1849"/>
      <c r="GO37" s="1848" t="s">
        <v>816</v>
      </c>
      <c r="GP37" s="1931"/>
      <c r="GQ37" s="1931"/>
      <c r="GR37" s="1931"/>
      <c r="GS37" s="1931"/>
      <c r="GT37" s="1931"/>
      <c r="GU37" s="1931"/>
      <c r="GV37" s="1849"/>
      <c r="GW37" s="1848" t="s">
        <v>729</v>
      </c>
      <c r="GX37" s="1931"/>
      <c r="GY37" s="1931"/>
      <c r="GZ37" s="1931"/>
      <c r="HA37" s="1931"/>
      <c r="HB37" s="1931"/>
      <c r="HC37" s="1931"/>
      <c r="HD37" s="1849"/>
      <c r="HE37" s="1848" t="s">
        <v>523</v>
      </c>
      <c r="HF37" s="1931"/>
      <c r="HG37" s="1931"/>
      <c r="HH37" s="1931"/>
      <c r="HI37" s="1931"/>
      <c r="HJ37" s="1931"/>
      <c r="HK37" s="1931"/>
      <c r="HL37" s="1849"/>
      <c r="HM37" s="1848" t="s">
        <v>524</v>
      </c>
      <c r="HN37" s="1931"/>
      <c r="HO37" s="1931"/>
      <c r="HP37" s="1931"/>
      <c r="HQ37" s="1931"/>
      <c r="HR37" s="1931"/>
      <c r="HS37" s="1931"/>
      <c r="HT37" s="1849"/>
      <c r="HU37" s="1848" t="s">
        <v>611</v>
      </c>
      <c r="HV37" s="1931"/>
      <c r="HW37" s="1931"/>
      <c r="HX37" s="1931"/>
      <c r="HY37" s="1931"/>
      <c r="HZ37" s="1931"/>
      <c r="IA37" s="1931"/>
      <c r="IB37" s="1849"/>
      <c r="IC37" s="1848" t="s">
        <v>629</v>
      </c>
      <c r="ID37" s="1931"/>
      <c r="IE37" s="1931"/>
      <c r="IF37" s="1931"/>
      <c r="IG37" s="1931"/>
      <c r="IH37" s="1931"/>
      <c r="II37" s="1931"/>
      <c r="IJ37" s="1849"/>
      <c r="IK37" s="1848" t="s">
        <v>511</v>
      </c>
      <c r="IL37" s="1931"/>
      <c r="IM37" s="1931"/>
      <c r="IN37" s="1931"/>
      <c r="IO37" s="1931"/>
      <c r="IP37" s="1931"/>
      <c r="IQ37" s="1931"/>
      <c r="IR37" s="1849"/>
      <c r="IS37" s="1848" t="s">
        <v>626</v>
      </c>
      <c r="IT37" s="1931"/>
      <c r="IU37" s="1931"/>
      <c r="IV37" s="1931"/>
      <c r="IW37" s="1931"/>
      <c r="IX37" s="1931"/>
      <c r="IY37" s="1931"/>
      <c r="IZ37" s="1849"/>
      <c r="JA37" s="1848" t="s">
        <v>715</v>
      </c>
      <c r="JB37" s="1931"/>
      <c r="JC37" s="1931"/>
      <c r="JD37" s="1931"/>
      <c r="JE37" s="1931"/>
      <c r="JF37" s="1931"/>
      <c r="JG37" s="1931"/>
      <c r="JH37" s="1849"/>
      <c r="JI37" s="1848" t="s">
        <v>632</v>
      </c>
      <c r="JJ37" s="1931"/>
      <c r="JK37" s="1931"/>
      <c r="JL37" s="1931"/>
      <c r="JM37" s="1931"/>
      <c r="JN37" s="1931"/>
      <c r="JO37" s="1931"/>
      <c r="JP37" s="1849"/>
    </row>
  </sheetData>
  <sheetProtection sheet="1" objects="1" scenarios="1"/>
  <mergeCells count="95">
    <mergeCell ref="G7:G9"/>
    <mergeCell ref="H7:H9"/>
    <mergeCell ref="I7:I9"/>
    <mergeCell ref="B6:I6"/>
    <mergeCell ref="B7:B9"/>
    <mergeCell ref="C7:C9"/>
    <mergeCell ref="D7:D9"/>
    <mergeCell ref="E7:E9"/>
    <mergeCell ref="F7:F9"/>
    <mergeCell ref="AC7:AJ8"/>
    <mergeCell ref="AS7:BH7"/>
    <mergeCell ref="AK7:AR8"/>
    <mergeCell ref="CO7:CV8"/>
    <mergeCell ref="A6:A8"/>
    <mergeCell ref="M6:JP6"/>
    <mergeCell ref="M7:M9"/>
    <mergeCell ref="N7:N9"/>
    <mergeCell ref="O7:O9"/>
    <mergeCell ref="P7:P9"/>
    <mergeCell ref="Q7:Q9"/>
    <mergeCell ref="R7:R9"/>
    <mergeCell ref="S7:S9"/>
    <mergeCell ref="T7:T9"/>
    <mergeCell ref="GO8:GV8"/>
    <mergeCell ref="GW8:HD8"/>
    <mergeCell ref="AS8:AZ8"/>
    <mergeCell ref="BA8:BH8"/>
    <mergeCell ref="BQ8:BX8"/>
    <mergeCell ref="BY8:CF8"/>
    <mergeCell ref="FY8:GF8"/>
    <mergeCell ref="FA7:FH8"/>
    <mergeCell ref="FI7:FP8"/>
    <mergeCell ref="FY7:GN7"/>
    <mergeCell ref="BI7:BP8"/>
    <mergeCell ref="BQ7:CF7"/>
    <mergeCell ref="CW7:DD8"/>
    <mergeCell ref="DE7:DL8"/>
    <mergeCell ref="DM7:DT8"/>
    <mergeCell ref="CG7:CN7"/>
    <mergeCell ref="CG8:CN8"/>
    <mergeCell ref="DU7:EJ7"/>
    <mergeCell ref="BY37:CF37"/>
    <mergeCell ref="CW37:DD37"/>
    <mergeCell ref="AK37:AR37"/>
    <mergeCell ref="CG37:CN37"/>
    <mergeCell ref="CO37:CV37"/>
    <mergeCell ref="AC37:AJ37"/>
    <mergeCell ref="AS37:AZ37"/>
    <mergeCell ref="BA37:BH37"/>
    <mergeCell ref="BI37:BP37"/>
    <mergeCell ref="BQ37:BX37"/>
    <mergeCell ref="JA37:JH37"/>
    <mergeCell ref="JI37:JP37"/>
    <mergeCell ref="DU37:EB37"/>
    <mergeCell ref="FA37:FH37"/>
    <mergeCell ref="FI37:FP37"/>
    <mergeCell ref="FY37:GF37"/>
    <mergeCell ref="GG37:GN37"/>
    <mergeCell ref="EC37:EJ37"/>
    <mergeCell ref="GO37:GV37"/>
    <mergeCell ref="GW37:HD37"/>
    <mergeCell ref="HE37:HL37"/>
    <mergeCell ref="HM37:HT37"/>
    <mergeCell ref="HU37:IB37"/>
    <mergeCell ref="IC37:IJ37"/>
    <mergeCell ref="IK37:IR37"/>
    <mergeCell ref="IS37:IZ37"/>
    <mergeCell ref="DU8:EB8"/>
    <mergeCell ref="EC8:EJ8"/>
    <mergeCell ref="GO7:HD7"/>
    <mergeCell ref="HE7:HT7"/>
    <mergeCell ref="EK37:ER37"/>
    <mergeCell ref="FQ37:FX37"/>
    <mergeCell ref="FQ7:FX7"/>
    <mergeCell ref="FQ8:FX8"/>
    <mergeCell ref="HE8:HL8"/>
    <mergeCell ref="HM8:HT8"/>
    <mergeCell ref="ES7:EZ8"/>
    <mergeCell ref="ES37:EZ37"/>
    <mergeCell ref="U7:AB8"/>
    <mergeCell ref="U37:AB37"/>
    <mergeCell ref="DE37:DL37"/>
    <mergeCell ref="DM37:DT37"/>
    <mergeCell ref="IS7:JP7"/>
    <mergeCell ref="IC7:IJ7"/>
    <mergeCell ref="IK7:IR7"/>
    <mergeCell ref="HU7:IB7"/>
    <mergeCell ref="EK7:ER8"/>
    <mergeCell ref="HU8:IB8"/>
    <mergeCell ref="IC8:IJ8"/>
    <mergeCell ref="IK8:IR8"/>
    <mergeCell ref="IS8:IZ8"/>
    <mergeCell ref="JA8:JH8"/>
    <mergeCell ref="JI8:JP8"/>
    <mergeCell ref="GG8:GN8"/>
  </mergeCells>
  <pageMargins left="0.78740157480314965" right="0.39370078740157483" top="0.78740157480314965" bottom="0.78740157480314965" header="0.51181102362204722" footer="0.51181102362204722"/>
  <pageSetup paperSize="9" scale="44" fitToWidth="50" orientation="landscape" r:id="rId1"/>
  <headerFooter alignWithMargins="0">
    <oddFooter>&amp;L&amp;P&amp;R&amp;Z&amp;F&amp;A</oddFooter>
  </headerFooter>
  <colBreaks count="10" manualBreakCount="10">
    <brk id="44" max="39" man="1"/>
    <brk id="60" max="39" man="1"/>
    <brk id="76" max="39" man="1"/>
    <brk id="156" max="39" man="1"/>
    <brk id="180" max="39" man="1"/>
    <brk id="196" max="39" man="1"/>
    <brk id="212" max="39" man="1"/>
    <brk id="236" max="39" man="1"/>
    <brk id="252" max="39" man="1"/>
    <brk id="260" max="3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1"/>
  <dimension ref="A2:BE47"/>
  <sheetViews>
    <sheetView topLeftCell="A2" zoomScale="60" zoomScaleNormal="60" zoomScaleSheetLayoutView="40" workbookViewId="0">
      <pane xSplit="1" ySplit="6" topLeftCell="AZ14" activePane="bottomRight" state="frozen"/>
      <selection activeCell="A2" sqref="A2"/>
      <selection pane="topRight" activeCell="B2" sqref="B2"/>
      <selection pane="bottomLeft" activeCell="A7" sqref="A7"/>
      <selection pane="bottomRight" activeCell="BB29" sqref="BB29"/>
    </sheetView>
  </sheetViews>
  <sheetFormatPr defaultColWidth="9.109375" defaultRowHeight="15" x14ac:dyDescent="0.25"/>
  <cols>
    <col min="1" max="1" width="25.109375" style="420" customWidth="1"/>
    <col min="2" max="2" width="24.109375" style="420" customWidth="1"/>
    <col min="3" max="3" width="23.109375" style="420" customWidth="1"/>
    <col min="4" max="5" width="21.5546875" style="420" customWidth="1"/>
    <col min="6" max="7" width="24.109375" style="420" customWidth="1"/>
    <col min="8" max="15" width="22" style="420" customWidth="1"/>
    <col min="16" max="17" width="22.109375" style="420" customWidth="1"/>
    <col min="18" max="21" width="25.109375" style="420" customWidth="1"/>
    <col min="22" max="23" width="22.109375" style="420" customWidth="1"/>
    <col min="24" max="25" width="22.88671875" style="420" customWidth="1"/>
    <col min="26" max="26" width="23.33203125" style="420" customWidth="1"/>
    <col min="27" max="33" width="22.5546875" style="420" customWidth="1"/>
    <col min="34" max="35" width="27" style="420" customWidth="1"/>
    <col min="36" max="36" width="21.109375" style="420" customWidth="1"/>
    <col min="37" max="37" width="20.88671875" style="420" customWidth="1"/>
    <col min="38" max="38" width="22.5546875" style="420" customWidth="1"/>
    <col min="39" max="39" width="20.88671875" style="420" customWidth="1"/>
    <col min="40" max="49" width="23.33203125" style="420" customWidth="1"/>
    <col min="50" max="51" width="27.109375" style="420" customWidth="1"/>
    <col min="52" max="53" width="21.44140625" style="420" customWidth="1"/>
    <col min="54" max="54" width="21.109375" style="420" customWidth="1"/>
    <col min="55" max="55" width="20.5546875" style="420" customWidth="1"/>
    <col min="56" max="57" width="23.88671875" style="420" customWidth="1"/>
    <col min="58" max="16384" width="9.109375" style="420"/>
  </cols>
  <sheetData>
    <row r="2" spans="1:57" ht="17.399999999999999" x14ac:dyDescent="0.3">
      <c r="C2" s="418"/>
      <c r="D2" s="467" t="s">
        <v>22</v>
      </c>
      <c r="I2" s="1025" t="str">
        <f>'Прочая  субсидия_БП'!G2</f>
        <v>ПО  СОСТОЯНИЮ  НА  1  ИЮЛЯ  2020  ГОДА</v>
      </c>
    </row>
    <row r="3" spans="1:57" ht="15.6" x14ac:dyDescent="0.3">
      <c r="B3" s="419"/>
      <c r="C3" s="419"/>
      <c r="D3" s="419"/>
      <c r="E3" s="419"/>
      <c r="F3" s="419"/>
      <c r="G3" s="419"/>
    </row>
    <row r="4" spans="1:57" ht="15.6" x14ac:dyDescent="0.3">
      <c r="L4" s="427" t="s">
        <v>0</v>
      </c>
    </row>
    <row r="5" spans="1:57" s="428" customFormat="1" ht="301.5" customHeight="1" x14ac:dyDescent="0.25">
      <c r="A5" s="1782" t="s">
        <v>12</v>
      </c>
      <c r="B5" s="1786" t="s">
        <v>1</v>
      </c>
      <c r="C5" s="1786"/>
      <c r="D5" s="1786" t="s">
        <v>600</v>
      </c>
      <c r="E5" s="1786"/>
      <c r="F5" s="1773" t="s">
        <v>549</v>
      </c>
      <c r="G5" s="1774"/>
      <c r="H5" s="1786" t="s">
        <v>224</v>
      </c>
      <c r="I5" s="1786"/>
      <c r="J5" s="1786" t="s">
        <v>548</v>
      </c>
      <c r="K5" s="1786"/>
      <c r="L5" s="1786" t="s">
        <v>406</v>
      </c>
      <c r="M5" s="1786"/>
      <c r="N5" s="1786" t="s">
        <v>619</v>
      </c>
      <c r="O5" s="1786"/>
      <c r="P5" s="1773" t="s">
        <v>423</v>
      </c>
      <c r="Q5" s="1774"/>
      <c r="R5" s="1773" t="s">
        <v>564</v>
      </c>
      <c r="S5" s="1774"/>
      <c r="T5" s="1777" t="s">
        <v>758</v>
      </c>
      <c r="U5" s="1778"/>
      <c r="V5" s="1777" t="s">
        <v>223</v>
      </c>
      <c r="W5" s="1778"/>
      <c r="X5" s="1773" t="s">
        <v>225</v>
      </c>
      <c r="Y5" s="1774"/>
      <c r="Z5" s="1773" t="s">
        <v>767</v>
      </c>
      <c r="AA5" s="1774"/>
      <c r="AB5" s="1773" t="s">
        <v>582</v>
      </c>
      <c r="AC5" s="1774"/>
      <c r="AD5" s="1773" t="s">
        <v>254</v>
      </c>
      <c r="AE5" s="1774"/>
      <c r="AF5" s="1773" t="s">
        <v>320</v>
      </c>
      <c r="AG5" s="1774"/>
      <c r="AH5" s="1773" t="s">
        <v>419</v>
      </c>
      <c r="AI5" s="1774"/>
      <c r="AJ5" s="1773" t="s">
        <v>418</v>
      </c>
      <c r="AK5" s="1774"/>
      <c r="AL5" s="1773" t="s">
        <v>343</v>
      </c>
      <c r="AM5" s="1774"/>
      <c r="AN5" s="1773" t="s">
        <v>341</v>
      </c>
      <c r="AO5" s="1774"/>
      <c r="AP5" s="1773" t="s">
        <v>287</v>
      </c>
      <c r="AQ5" s="1774"/>
      <c r="AR5" s="1773" t="s">
        <v>344</v>
      </c>
      <c r="AS5" s="1774"/>
      <c r="AT5" s="1773" t="s">
        <v>457</v>
      </c>
      <c r="AU5" s="1774"/>
      <c r="AV5" s="1773" t="s">
        <v>417</v>
      </c>
      <c r="AW5" s="1774"/>
      <c r="AX5" s="1773" t="s">
        <v>615</v>
      </c>
      <c r="AY5" s="1774"/>
      <c r="AZ5" s="1779" t="s">
        <v>616</v>
      </c>
      <c r="BA5" s="1781"/>
      <c r="BB5" s="1773" t="s">
        <v>291</v>
      </c>
      <c r="BC5" s="1774"/>
      <c r="BD5" s="1779" t="s">
        <v>711</v>
      </c>
      <c r="BE5" s="1779"/>
    </row>
    <row r="6" spans="1:57" ht="18" customHeight="1" x14ac:dyDescent="0.25">
      <c r="A6" s="1783"/>
      <c r="B6" s="1786"/>
      <c r="C6" s="1786"/>
      <c r="D6" s="1785" t="s">
        <v>599</v>
      </c>
      <c r="E6" s="1785"/>
      <c r="F6" s="1785" t="s">
        <v>550</v>
      </c>
      <c r="G6" s="1785"/>
      <c r="H6" s="1780" t="s">
        <v>203</v>
      </c>
      <c r="I6" s="1785"/>
      <c r="J6" s="1785" t="s">
        <v>547</v>
      </c>
      <c r="K6" s="1785"/>
      <c r="L6" s="1780" t="s">
        <v>310</v>
      </c>
      <c r="M6" s="1785"/>
      <c r="N6" s="1785" t="s">
        <v>618</v>
      </c>
      <c r="O6" s="1785"/>
      <c r="P6" s="1771" t="s">
        <v>422</v>
      </c>
      <c r="Q6" s="1776"/>
      <c r="R6" s="1771" t="s">
        <v>562</v>
      </c>
      <c r="S6" s="1772"/>
      <c r="T6" s="1771" t="s">
        <v>759</v>
      </c>
      <c r="U6" s="1776"/>
      <c r="V6" s="1771" t="s">
        <v>205</v>
      </c>
      <c r="W6" s="1772"/>
      <c r="X6" s="1771" t="s">
        <v>221</v>
      </c>
      <c r="Y6" s="1776"/>
      <c r="Z6" s="1771" t="s">
        <v>766</v>
      </c>
      <c r="AA6" s="1776"/>
      <c r="AB6" s="1771" t="s">
        <v>581</v>
      </c>
      <c r="AC6" s="1776"/>
      <c r="AD6" s="1771" t="s">
        <v>204</v>
      </c>
      <c r="AE6" s="1776"/>
      <c r="AF6" s="1771" t="s">
        <v>319</v>
      </c>
      <c r="AG6" s="1776"/>
      <c r="AH6" s="1775" t="s">
        <v>201</v>
      </c>
      <c r="AI6" s="1776"/>
      <c r="AJ6" s="1775" t="s">
        <v>202</v>
      </c>
      <c r="AK6" s="1776"/>
      <c r="AL6" s="1771" t="s">
        <v>342</v>
      </c>
      <c r="AM6" s="1776"/>
      <c r="AN6" s="1775" t="s">
        <v>200</v>
      </c>
      <c r="AO6" s="1776"/>
      <c r="AP6" s="1775" t="s">
        <v>286</v>
      </c>
      <c r="AQ6" s="1776"/>
      <c r="AR6" s="1775" t="s">
        <v>321</v>
      </c>
      <c r="AS6" s="1776"/>
      <c r="AT6" s="1771" t="s">
        <v>340</v>
      </c>
      <c r="AU6" s="1776"/>
      <c r="AV6" s="1771" t="s">
        <v>416</v>
      </c>
      <c r="AW6" s="1776"/>
      <c r="AX6" s="1775" t="s">
        <v>218</v>
      </c>
      <c r="AY6" s="1776"/>
      <c r="AZ6" s="1771" t="s">
        <v>323</v>
      </c>
      <c r="BA6" s="1776"/>
      <c r="BB6" s="1780" t="s">
        <v>290</v>
      </c>
      <c r="BC6" s="1780"/>
      <c r="BD6" s="1771" t="s">
        <v>414</v>
      </c>
      <c r="BE6" s="1776"/>
    </row>
    <row r="7" spans="1:57" s="430" customFormat="1" ht="18" customHeight="1" x14ac:dyDescent="0.25">
      <c r="A7" s="1784"/>
      <c r="B7" s="429" t="s">
        <v>156</v>
      </c>
      <c r="C7" s="429" t="s">
        <v>157</v>
      </c>
      <c r="D7" s="429" t="s">
        <v>156</v>
      </c>
      <c r="E7" s="429" t="s">
        <v>157</v>
      </c>
      <c r="F7" s="429" t="s">
        <v>156</v>
      </c>
      <c r="G7" s="429" t="s">
        <v>157</v>
      </c>
      <c r="H7" s="429" t="s">
        <v>156</v>
      </c>
      <c r="I7" s="429" t="s">
        <v>157</v>
      </c>
      <c r="J7" s="429" t="s">
        <v>156</v>
      </c>
      <c r="K7" s="429" t="s">
        <v>157</v>
      </c>
      <c r="L7" s="429" t="s">
        <v>156</v>
      </c>
      <c r="M7" s="429" t="s">
        <v>157</v>
      </c>
      <c r="N7" s="429" t="s">
        <v>156</v>
      </c>
      <c r="O7" s="429" t="s">
        <v>157</v>
      </c>
      <c r="P7" s="429" t="s">
        <v>156</v>
      </c>
      <c r="Q7" s="429" t="s">
        <v>157</v>
      </c>
      <c r="R7" s="429" t="s">
        <v>156</v>
      </c>
      <c r="S7" s="429" t="s">
        <v>157</v>
      </c>
      <c r="T7" s="429" t="s">
        <v>156</v>
      </c>
      <c r="U7" s="429" t="s">
        <v>157</v>
      </c>
      <c r="V7" s="429" t="s">
        <v>156</v>
      </c>
      <c r="W7" s="429" t="s">
        <v>157</v>
      </c>
      <c r="X7" s="429" t="s">
        <v>156</v>
      </c>
      <c r="Y7" s="429" t="s">
        <v>157</v>
      </c>
      <c r="Z7" s="429" t="s">
        <v>156</v>
      </c>
      <c r="AA7" s="429" t="s">
        <v>157</v>
      </c>
      <c r="AB7" s="429" t="s">
        <v>156</v>
      </c>
      <c r="AC7" s="429" t="s">
        <v>157</v>
      </c>
      <c r="AD7" s="429" t="s">
        <v>156</v>
      </c>
      <c r="AE7" s="429" t="s">
        <v>157</v>
      </c>
      <c r="AF7" s="429" t="s">
        <v>156</v>
      </c>
      <c r="AG7" s="429" t="s">
        <v>157</v>
      </c>
      <c r="AH7" s="429" t="s">
        <v>156</v>
      </c>
      <c r="AI7" s="429" t="s">
        <v>157</v>
      </c>
      <c r="AJ7" s="429" t="s">
        <v>156</v>
      </c>
      <c r="AK7" s="429" t="s">
        <v>157</v>
      </c>
      <c r="AL7" s="429" t="s">
        <v>156</v>
      </c>
      <c r="AM7" s="429" t="s">
        <v>157</v>
      </c>
      <c r="AN7" s="429" t="s">
        <v>156</v>
      </c>
      <c r="AO7" s="429" t="s">
        <v>157</v>
      </c>
      <c r="AP7" s="429" t="s">
        <v>156</v>
      </c>
      <c r="AQ7" s="429" t="s">
        <v>157</v>
      </c>
      <c r="AR7" s="429" t="s">
        <v>156</v>
      </c>
      <c r="AS7" s="429" t="s">
        <v>157</v>
      </c>
      <c r="AT7" s="429" t="s">
        <v>156</v>
      </c>
      <c r="AU7" s="429" t="s">
        <v>157</v>
      </c>
      <c r="AV7" s="429" t="s">
        <v>156</v>
      </c>
      <c r="AW7" s="429" t="s">
        <v>157</v>
      </c>
      <c r="AX7" s="429" t="s">
        <v>156</v>
      </c>
      <c r="AY7" s="429" t="s">
        <v>157</v>
      </c>
      <c r="AZ7" s="429" t="s">
        <v>156</v>
      </c>
      <c r="BA7" s="429" t="s">
        <v>157</v>
      </c>
      <c r="BB7" s="429" t="s">
        <v>156</v>
      </c>
      <c r="BC7" s="429" t="s">
        <v>157</v>
      </c>
      <c r="BD7" s="429" t="s">
        <v>156</v>
      </c>
      <c r="BE7" s="429" t="s">
        <v>157</v>
      </c>
    </row>
    <row r="8" spans="1:57" s="435" customFormat="1" ht="21" customHeight="1" x14ac:dyDescent="0.3">
      <c r="A8" s="431" t="s">
        <v>79</v>
      </c>
      <c r="B8" s="148">
        <f t="shared" ref="B8:B25" si="0">D8+H8+J8+P8+V8+Z8+AH8+AJ8+AN8+AX8+BB8+X8+AD8+AP8+R8+L8+AF8+AR8+AB8+AZ8+AT8+AL8+BD8+AV8+F8+N8+T8</f>
        <v>5669374.29</v>
      </c>
      <c r="C8" s="148">
        <f t="shared" ref="C8:C25" si="1">E8+I8+K8+Q8+W8+AA8+AI8+AK8+AO8+AY8+BC8+Y8+AE8+AQ8+S8+M8+AG8+AS8+AC8+BA8+AU8+AM8+BE8+AW8+G8+O8+U8</f>
        <v>1647522.29</v>
      </c>
      <c r="D8" s="151">
        <f>[1]Субсидия_факт!AV10</f>
        <v>0</v>
      </c>
      <c r="E8" s="948"/>
      <c r="F8" s="151">
        <f>[1]Субсидия_факт!BB10</f>
        <v>0</v>
      </c>
      <c r="G8" s="753"/>
      <c r="H8" s="151">
        <f>[1]Субсидия_факт!BD10</f>
        <v>0</v>
      </c>
      <c r="I8" s="753"/>
      <c r="J8" s="151">
        <f>[1]Субсидия_факт!BF10</f>
        <v>42535.9</v>
      </c>
      <c r="K8" s="948">
        <f>J8</f>
        <v>42535.9</v>
      </c>
      <c r="L8" s="151">
        <f>[1]Субсидия_факт!BH10</f>
        <v>0</v>
      </c>
      <c r="M8" s="753"/>
      <c r="N8" s="151">
        <f>[1]Субсидия_факт!DH10</f>
        <v>82502.58</v>
      </c>
      <c r="O8" s="948">
        <f>N8</f>
        <v>82502.58</v>
      </c>
      <c r="P8" s="151">
        <f>[1]Субсидия_факт!CV10</f>
        <v>0</v>
      </c>
      <c r="Q8" s="948"/>
      <c r="R8" s="151">
        <f>[1]Субсидия_факт!ET10</f>
        <v>99033.65</v>
      </c>
      <c r="S8" s="948">
        <f>R8</f>
        <v>99033.65</v>
      </c>
      <c r="T8" s="1073">
        <f>[1]Субсидия_факт!EZ10</f>
        <v>0</v>
      </c>
      <c r="U8" s="1074"/>
      <c r="V8" s="151">
        <f>[1]Субсидия_факт!FH10</f>
        <v>4021852</v>
      </c>
      <c r="W8" s="753"/>
      <c r="X8" s="151">
        <f>[1]Субсидия_факт!GH10</f>
        <v>0</v>
      </c>
      <c r="Y8" s="753"/>
      <c r="Z8" s="151">
        <f>[1]Субсидия_факт!GR10</f>
        <v>0</v>
      </c>
      <c r="AA8" s="753"/>
      <c r="AB8" s="151">
        <f>[1]Субсидия_факт!HF10</f>
        <v>0</v>
      </c>
      <c r="AC8" s="753"/>
      <c r="AD8" s="151">
        <f>[1]Субсидия_факт!HZ10</f>
        <v>0</v>
      </c>
      <c r="AE8" s="753"/>
      <c r="AF8" s="151">
        <f>[1]Субсидия_факт!IF10</f>
        <v>0</v>
      </c>
      <c r="AG8" s="753"/>
      <c r="AH8" s="151">
        <f>[1]Субсидия_факт!IH10</f>
        <v>0</v>
      </c>
      <c r="AI8" s="948">
        <f>AH8</f>
        <v>0</v>
      </c>
      <c r="AJ8" s="151">
        <f>[1]Субсидия_факт!IJ10</f>
        <v>1117700.8600000001</v>
      </c>
      <c r="AK8" s="948">
        <f>AJ8</f>
        <v>1117700.8600000001</v>
      </c>
      <c r="AL8" s="151">
        <f>[1]Субсидия_факт!IX10</f>
        <v>0</v>
      </c>
      <c r="AM8" s="753"/>
      <c r="AN8" s="151">
        <f>[1]Субсидия_факт!JJ10</f>
        <v>0</v>
      </c>
      <c r="AO8" s="753"/>
      <c r="AP8" s="151">
        <f>[1]Субсидия_факт!JP10</f>
        <v>0</v>
      </c>
      <c r="AQ8" s="753"/>
      <c r="AR8" s="1073"/>
      <c r="AS8" s="1074"/>
      <c r="AT8" s="1073">
        <f>[1]Субсидия_факт!JV10</f>
        <v>0</v>
      </c>
      <c r="AU8" s="1074"/>
      <c r="AV8" s="1073"/>
      <c r="AW8" s="1074"/>
      <c r="AX8" s="151">
        <f>[1]Субсидия_факт!JX10</f>
        <v>0</v>
      </c>
      <c r="AY8" s="753"/>
      <c r="AZ8" s="151">
        <f>[1]Субсидия_факт!KD10</f>
        <v>0</v>
      </c>
      <c r="BA8" s="753"/>
      <c r="BB8" s="151">
        <f>[1]Субсидия_факт!KV10</f>
        <v>305749.3</v>
      </c>
      <c r="BC8" s="948">
        <f>BB8</f>
        <v>305749.3</v>
      </c>
      <c r="BD8" s="417">
        <f>[1]Субсидия_факт!LB10</f>
        <v>0</v>
      </c>
      <c r="BE8" s="753"/>
    </row>
    <row r="9" spans="1:57" s="427" customFormat="1" ht="21" customHeight="1" x14ac:dyDescent="0.3">
      <c r="A9" s="431" t="s">
        <v>80</v>
      </c>
      <c r="B9" s="148">
        <f t="shared" si="0"/>
        <v>9847008.8500000015</v>
      </c>
      <c r="C9" s="148">
        <f t="shared" si="1"/>
        <v>6200778.7299999995</v>
      </c>
      <c r="D9" s="151">
        <f>[1]Субсидия_факт!AV11</f>
        <v>187373.01</v>
      </c>
      <c r="E9" s="753">
        <v>0</v>
      </c>
      <c r="F9" s="151">
        <f>[1]Субсидия_факт!BB11</f>
        <v>0</v>
      </c>
      <c r="G9" s="753"/>
      <c r="H9" s="151">
        <f>[1]Субсидия_факт!BD11</f>
        <v>0</v>
      </c>
      <c r="I9" s="753"/>
      <c r="J9" s="151">
        <f>[1]Субсидия_факт!BF11</f>
        <v>152501.71</v>
      </c>
      <c r="K9" s="948">
        <f t="shared" ref="K9:K25" si="2">J9</f>
        <v>152501.71</v>
      </c>
      <c r="L9" s="151">
        <f>[1]Субсидия_факт!BH11</f>
        <v>835822.71</v>
      </c>
      <c r="M9" s="753">
        <v>0</v>
      </c>
      <c r="N9" s="151">
        <f>[1]Субсидия_факт!DH11</f>
        <v>182763.51999999999</v>
      </c>
      <c r="O9" s="948">
        <f>N9</f>
        <v>182763.51999999999</v>
      </c>
      <c r="P9" s="151">
        <f>[1]Субсидия_факт!CV11</f>
        <v>4848.17</v>
      </c>
      <c r="Q9" s="948">
        <f>P9</f>
        <v>4848.17</v>
      </c>
      <c r="R9" s="151">
        <f>[1]Субсидия_факт!ET11</f>
        <v>880881.42</v>
      </c>
      <c r="S9" s="948">
        <f t="shared" ref="S9:S25" si="3">R9</f>
        <v>880881.42</v>
      </c>
      <c r="T9" s="1073">
        <f>[1]Субсидия_факт!EZ11</f>
        <v>0</v>
      </c>
      <c r="U9" s="1074"/>
      <c r="V9" s="151">
        <f>[1]Субсидия_факт!FH11</f>
        <v>3338068</v>
      </c>
      <c r="W9" s="753">
        <v>3031833.6</v>
      </c>
      <c r="X9" s="151">
        <f>[1]Субсидия_факт!GH11</f>
        <v>0</v>
      </c>
      <c r="Y9" s="753"/>
      <c r="Z9" s="151">
        <f>[1]Субсидия_факт!GR11</f>
        <v>0</v>
      </c>
      <c r="AA9" s="753"/>
      <c r="AB9" s="151">
        <f>[1]Субсидия_факт!HF11</f>
        <v>0</v>
      </c>
      <c r="AC9" s="753"/>
      <c r="AD9" s="151">
        <f>[1]Субсидия_факт!HZ11</f>
        <v>0</v>
      </c>
      <c r="AE9" s="753"/>
      <c r="AF9" s="151">
        <f>[1]Субсидия_факт!IF11</f>
        <v>0</v>
      </c>
      <c r="AG9" s="753"/>
      <c r="AH9" s="151">
        <f>[1]Субсидия_факт!IH11</f>
        <v>114814</v>
      </c>
      <c r="AI9" s="948">
        <f t="shared" ref="AI9:AI25" si="4">AH9</f>
        <v>114814</v>
      </c>
      <c r="AJ9" s="151">
        <f>[1]Субсидия_факт!IJ11</f>
        <v>1561397.34</v>
      </c>
      <c r="AK9" s="948">
        <f t="shared" ref="AK9:AK25" si="5">AJ9</f>
        <v>1561397.34</v>
      </c>
      <c r="AL9" s="151">
        <f>[1]Субсидия_факт!IX11</f>
        <v>0</v>
      </c>
      <c r="AM9" s="753"/>
      <c r="AN9" s="151">
        <f>[1]Субсидия_факт!JJ11</f>
        <v>0</v>
      </c>
      <c r="AO9" s="753"/>
      <c r="AP9" s="151">
        <f>[1]Субсидия_факт!JP11</f>
        <v>0</v>
      </c>
      <c r="AQ9" s="753"/>
      <c r="AR9" s="1073"/>
      <c r="AS9" s="1074"/>
      <c r="AT9" s="1073">
        <f>[1]Субсидия_факт!JV11</f>
        <v>0</v>
      </c>
      <c r="AU9" s="1074"/>
      <c r="AV9" s="1073"/>
      <c r="AW9" s="1074"/>
      <c r="AX9" s="151">
        <f>[1]Субсидия_факт!JX11</f>
        <v>2316800</v>
      </c>
      <c r="AY9" s="753"/>
      <c r="AZ9" s="151">
        <f>[1]Субсидия_факт!KD11</f>
        <v>0</v>
      </c>
      <c r="BA9" s="753"/>
      <c r="BB9" s="151">
        <f>[1]Субсидия_факт!KV11</f>
        <v>271738.96999999997</v>
      </c>
      <c r="BC9" s="948">
        <f t="shared" ref="BC9:BC25" si="6">BB9</f>
        <v>271738.96999999997</v>
      </c>
      <c r="BD9" s="417">
        <f>[1]Субсидия_факт!LB11</f>
        <v>0</v>
      </c>
      <c r="BE9" s="753"/>
    </row>
    <row r="10" spans="1:57" s="427" customFormat="1" ht="21" customHeight="1" x14ac:dyDescent="0.3">
      <c r="A10" s="431" t="s">
        <v>81</v>
      </c>
      <c r="B10" s="148">
        <f t="shared" si="0"/>
        <v>16820033.740000002</v>
      </c>
      <c r="C10" s="148">
        <f t="shared" si="1"/>
        <v>3727065.67</v>
      </c>
      <c r="D10" s="151">
        <f>[1]Субсидия_факт!AV12</f>
        <v>333481.84999999998</v>
      </c>
      <c r="E10" s="753">
        <v>76849.58</v>
      </c>
      <c r="F10" s="151">
        <f>[1]Субсидия_факт!BB12</f>
        <v>0</v>
      </c>
      <c r="G10" s="753"/>
      <c r="H10" s="151">
        <f>[1]Субсидия_факт!BD12</f>
        <v>0</v>
      </c>
      <c r="I10" s="753"/>
      <c r="J10" s="151">
        <f>[1]Субсидия_факт!BF12</f>
        <v>74863.16</v>
      </c>
      <c r="K10" s="948">
        <f t="shared" si="2"/>
        <v>74863.16</v>
      </c>
      <c r="L10" s="151">
        <f>[1]Субсидия_факт!BH12</f>
        <v>1228338.1100000001</v>
      </c>
      <c r="M10" s="753">
        <v>423676</v>
      </c>
      <c r="N10" s="151">
        <f>[1]Субсидия_факт!DH12</f>
        <v>152457.89000000001</v>
      </c>
      <c r="O10" s="948">
        <f t="shared" ref="O10:O25" si="7">N10</f>
        <v>152457.89000000001</v>
      </c>
      <c r="P10" s="151">
        <f>[1]Субсидия_факт!CV12</f>
        <v>4155.57</v>
      </c>
      <c r="Q10" s="948">
        <f t="shared" ref="Q10:Q25" si="8">P10</f>
        <v>4155.57</v>
      </c>
      <c r="R10" s="151">
        <f>[1]Субсидия_факт!ET12</f>
        <v>484591.55</v>
      </c>
      <c r="S10" s="948">
        <f t="shared" si="3"/>
        <v>484591.55</v>
      </c>
      <c r="T10" s="1073">
        <f>[1]Субсидия_факт!EZ12</f>
        <v>0</v>
      </c>
      <c r="U10" s="1074"/>
      <c r="V10" s="151">
        <f>[1]Субсидия_факт!FH12</f>
        <v>4822410</v>
      </c>
      <c r="W10" s="753"/>
      <c r="X10" s="151">
        <f>[1]Субсидия_факт!GH12</f>
        <v>92178.69</v>
      </c>
      <c r="Y10" s="753"/>
      <c r="Z10" s="151">
        <f>[1]Субсидия_факт!GR12</f>
        <v>0</v>
      </c>
      <c r="AA10" s="753"/>
      <c r="AB10" s="151">
        <f>[1]Субсидия_факт!HF12</f>
        <v>137085</v>
      </c>
      <c r="AC10" s="753"/>
      <c r="AD10" s="151">
        <f>[1]Субсидия_факт!HZ12</f>
        <v>6980000</v>
      </c>
      <c r="AE10" s="753"/>
      <c r="AF10" s="151">
        <f>[1]Субсидия_факт!IF12</f>
        <v>0</v>
      </c>
      <c r="AG10" s="753"/>
      <c r="AH10" s="151">
        <f>[1]Субсидия_факт!IH12</f>
        <v>0</v>
      </c>
      <c r="AI10" s="948">
        <f t="shared" si="4"/>
        <v>0</v>
      </c>
      <c r="AJ10" s="151">
        <f>[1]Субсидия_факт!IJ12</f>
        <v>2200023.56</v>
      </c>
      <c r="AK10" s="948">
        <f t="shared" si="5"/>
        <v>2200023.56</v>
      </c>
      <c r="AL10" s="151">
        <f>[1]Субсидия_факт!IX12</f>
        <v>0</v>
      </c>
      <c r="AM10" s="753"/>
      <c r="AN10" s="151">
        <f>[1]Субсидия_факт!JJ12</f>
        <v>0</v>
      </c>
      <c r="AO10" s="753"/>
      <c r="AP10" s="151">
        <f>[1]Субсидия_факт!JP12</f>
        <v>0</v>
      </c>
      <c r="AQ10" s="753"/>
      <c r="AR10" s="1073"/>
      <c r="AS10" s="1074"/>
      <c r="AT10" s="1073">
        <f>[1]Субсидия_факт!JV12</f>
        <v>0</v>
      </c>
      <c r="AU10" s="1074"/>
      <c r="AV10" s="1073"/>
      <c r="AW10" s="1074"/>
      <c r="AX10" s="151">
        <f>[1]Субсидия_факт!JX12</f>
        <v>0</v>
      </c>
      <c r="AY10" s="753"/>
      <c r="AZ10" s="151">
        <f>[1]Субсидия_факт!KD12</f>
        <v>0</v>
      </c>
      <c r="BA10" s="753"/>
      <c r="BB10" s="151">
        <f>[1]Субсидия_факт!KV12</f>
        <v>310448.36</v>
      </c>
      <c r="BC10" s="948">
        <f t="shared" si="6"/>
        <v>310448.36</v>
      </c>
      <c r="BD10" s="417">
        <f>[1]Субсидия_факт!LB12</f>
        <v>0</v>
      </c>
      <c r="BE10" s="753"/>
    </row>
    <row r="11" spans="1:57" s="427" customFormat="1" ht="21" customHeight="1" x14ac:dyDescent="0.3">
      <c r="A11" s="431" t="s">
        <v>82</v>
      </c>
      <c r="B11" s="148">
        <f t="shared" si="0"/>
        <v>11821254.149999999</v>
      </c>
      <c r="C11" s="148">
        <f t="shared" si="1"/>
        <v>4660717.379999999</v>
      </c>
      <c r="D11" s="151">
        <f>[1]Субсидия_факт!AV13</f>
        <v>454321.02</v>
      </c>
      <c r="E11" s="753">
        <v>0</v>
      </c>
      <c r="F11" s="151">
        <f>[1]Субсидия_факт!BB13</f>
        <v>0</v>
      </c>
      <c r="G11" s="753"/>
      <c r="H11" s="151">
        <f>[1]Субсидия_факт!BD13</f>
        <v>0</v>
      </c>
      <c r="I11" s="753"/>
      <c r="J11" s="151">
        <f>[1]Субсидия_факт!BF13</f>
        <v>87533.43</v>
      </c>
      <c r="K11" s="948">
        <f t="shared" si="2"/>
        <v>87533.43</v>
      </c>
      <c r="L11" s="151">
        <f>[1]Субсидия_факт!BH13</f>
        <v>0</v>
      </c>
      <c r="M11" s="753"/>
      <c r="N11" s="151">
        <f>[1]Субсидия_факт!DH13</f>
        <v>183622.93</v>
      </c>
      <c r="O11" s="948">
        <f t="shared" si="7"/>
        <v>183622.93</v>
      </c>
      <c r="P11" s="151">
        <f>[1]Субсидия_факт!CV13</f>
        <v>27986.53</v>
      </c>
      <c r="Q11" s="948">
        <f t="shared" si="8"/>
        <v>27986.53</v>
      </c>
      <c r="R11" s="151">
        <f>[1]Субсидия_факт!ET13</f>
        <v>1328235.8599999999</v>
      </c>
      <c r="S11" s="948">
        <f t="shared" si="3"/>
        <v>1328235.8599999999</v>
      </c>
      <c r="T11" s="1073">
        <f>[1]Субсидия_факт!EZ13</f>
        <v>0</v>
      </c>
      <c r="U11" s="1074"/>
      <c r="V11" s="151">
        <f>[1]Субсидия_факт!FH13</f>
        <v>931622</v>
      </c>
      <c r="W11" s="753"/>
      <c r="X11" s="151">
        <f>[1]Субсидия_факт!GH13</f>
        <v>0</v>
      </c>
      <c r="Y11" s="753"/>
      <c r="Z11" s="151">
        <f>[1]Субсидия_факт!GR13</f>
        <v>0</v>
      </c>
      <c r="AA11" s="753"/>
      <c r="AB11" s="151">
        <f>[1]Субсидия_факт!HF13</f>
        <v>0</v>
      </c>
      <c r="AC11" s="753"/>
      <c r="AD11" s="151">
        <f>[1]Субсидия_факт!HZ13</f>
        <v>6000000</v>
      </c>
      <c r="AE11" s="753">
        <v>225406.25</v>
      </c>
      <c r="AF11" s="151">
        <f>[1]Субсидия_факт!IF13</f>
        <v>0</v>
      </c>
      <c r="AG11" s="753"/>
      <c r="AH11" s="151">
        <f>[1]Субсидия_факт!IH13</f>
        <v>1031200</v>
      </c>
      <c r="AI11" s="948">
        <f t="shared" si="4"/>
        <v>1031200</v>
      </c>
      <c r="AJ11" s="151">
        <f>[1]Субсидия_факт!IJ13</f>
        <v>1402712.6600000001</v>
      </c>
      <c r="AK11" s="948">
        <f t="shared" si="5"/>
        <v>1402712.6600000001</v>
      </c>
      <c r="AL11" s="151">
        <f>[1]Субсидия_факт!IX13</f>
        <v>0</v>
      </c>
      <c r="AM11" s="753"/>
      <c r="AN11" s="151">
        <f>[1]Субсидия_факт!JJ13</f>
        <v>0</v>
      </c>
      <c r="AO11" s="753"/>
      <c r="AP11" s="151">
        <f>[1]Субсидия_факт!JP13</f>
        <v>0</v>
      </c>
      <c r="AQ11" s="753"/>
      <c r="AR11" s="1073"/>
      <c r="AS11" s="1074"/>
      <c r="AT11" s="1073">
        <f>[1]Субсидия_факт!JV13</f>
        <v>0</v>
      </c>
      <c r="AU11" s="1074"/>
      <c r="AV11" s="1073"/>
      <c r="AW11" s="1074"/>
      <c r="AX11" s="151">
        <f>[1]Субсидия_факт!JX13</f>
        <v>0</v>
      </c>
      <c r="AY11" s="753"/>
      <c r="AZ11" s="151">
        <f>[1]Субсидия_факт!KD13</f>
        <v>0</v>
      </c>
      <c r="BA11" s="753"/>
      <c r="BB11" s="151">
        <f>[1]Субсидия_факт!KV13</f>
        <v>374019.72</v>
      </c>
      <c r="BC11" s="948">
        <f t="shared" si="6"/>
        <v>374019.72</v>
      </c>
      <c r="BD11" s="417">
        <f>[1]Субсидия_факт!LB13</f>
        <v>0</v>
      </c>
      <c r="BE11" s="753"/>
    </row>
    <row r="12" spans="1:57" s="427" customFormat="1" ht="21" customHeight="1" x14ac:dyDescent="0.3">
      <c r="A12" s="431" t="s">
        <v>83</v>
      </c>
      <c r="B12" s="148">
        <f t="shared" si="0"/>
        <v>30344871.43</v>
      </c>
      <c r="C12" s="148">
        <f t="shared" si="1"/>
        <v>5726727.9299999988</v>
      </c>
      <c r="D12" s="151">
        <f>[1]Субсидия_факт!AV14</f>
        <v>277059.42</v>
      </c>
      <c r="E12" s="753">
        <v>0</v>
      </c>
      <c r="F12" s="151">
        <f>[1]Субсидия_факт!BB14</f>
        <v>0</v>
      </c>
      <c r="G12" s="753"/>
      <c r="H12" s="151">
        <f>[1]Субсидия_факт!BD14</f>
        <v>0</v>
      </c>
      <c r="I12" s="753"/>
      <c r="J12" s="151">
        <f>[1]Субсидия_факт!BF14</f>
        <v>100384.69</v>
      </c>
      <c r="K12" s="948">
        <f t="shared" si="2"/>
        <v>100384.69</v>
      </c>
      <c r="L12" s="151">
        <f>[1]Субсидия_факт!BH14</f>
        <v>3688576.09</v>
      </c>
      <c r="M12" s="753">
        <v>0</v>
      </c>
      <c r="N12" s="151">
        <f>[1]Субсидия_факт!DH14</f>
        <v>160536.26999999999</v>
      </c>
      <c r="O12" s="948">
        <f t="shared" si="7"/>
        <v>160536.26999999999</v>
      </c>
      <c r="P12" s="151">
        <f>[1]Субсидия_факт!CV14</f>
        <v>8395.9599999999991</v>
      </c>
      <c r="Q12" s="948">
        <f t="shared" si="8"/>
        <v>8395.9599999999991</v>
      </c>
      <c r="R12" s="151">
        <f>[1]Субсидия_факт!ET14</f>
        <v>866544.54</v>
      </c>
      <c r="S12" s="948">
        <f t="shared" si="3"/>
        <v>866544.54</v>
      </c>
      <c r="T12" s="1073">
        <f>[1]Субсидия_факт!EZ14</f>
        <v>0</v>
      </c>
      <c r="U12" s="1074"/>
      <c r="V12" s="151">
        <f>[1]Субсидия_факт!FH14</f>
        <v>24041105</v>
      </c>
      <c r="W12" s="753">
        <v>3593543.42</v>
      </c>
      <c r="X12" s="151">
        <f>[1]Субсидия_факт!GH14</f>
        <v>91911.41</v>
      </c>
      <c r="Y12" s="753"/>
      <c r="Z12" s="151">
        <f>[1]Субсидия_факт!GR14</f>
        <v>0</v>
      </c>
      <c r="AA12" s="753"/>
      <c r="AB12" s="151">
        <f>[1]Субсидия_факт!HF14</f>
        <v>113035</v>
      </c>
      <c r="AC12" s="753"/>
      <c r="AD12" s="151">
        <f>[1]Субсидия_факт!HZ14</f>
        <v>0</v>
      </c>
      <c r="AE12" s="753"/>
      <c r="AF12" s="151">
        <f>[1]Субсидия_факт!IF14</f>
        <v>0</v>
      </c>
      <c r="AG12" s="753"/>
      <c r="AH12" s="151">
        <f>[1]Субсидия_факт!IH14</f>
        <v>0</v>
      </c>
      <c r="AI12" s="948">
        <f t="shared" si="4"/>
        <v>0</v>
      </c>
      <c r="AJ12" s="151">
        <f>[1]Субсидия_факт!IJ14</f>
        <v>865340.15999999992</v>
      </c>
      <c r="AK12" s="948">
        <f t="shared" si="5"/>
        <v>865340.15999999992</v>
      </c>
      <c r="AL12" s="151">
        <f>[1]Субсидия_факт!IX14</f>
        <v>0</v>
      </c>
      <c r="AM12" s="753"/>
      <c r="AN12" s="151">
        <f>[1]Субсидия_факт!JJ14</f>
        <v>0</v>
      </c>
      <c r="AO12" s="753"/>
      <c r="AP12" s="151">
        <f>[1]Субсидия_факт!JP14</f>
        <v>0</v>
      </c>
      <c r="AQ12" s="753"/>
      <c r="AR12" s="1073"/>
      <c r="AS12" s="1074"/>
      <c r="AT12" s="1073">
        <f>[1]Субсидия_факт!JV14</f>
        <v>0</v>
      </c>
      <c r="AU12" s="1074"/>
      <c r="AV12" s="1073"/>
      <c r="AW12" s="1074"/>
      <c r="AX12" s="151">
        <f>[1]Субсидия_факт!JX14</f>
        <v>0</v>
      </c>
      <c r="AY12" s="753"/>
      <c r="AZ12" s="151">
        <f>[1]Субсидия_факт!KD14</f>
        <v>0</v>
      </c>
      <c r="BA12" s="753"/>
      <c r="BB12" s="151">
        <f>[1]Субсидия_факт!KV14</f>
        <v>131982.89000000001</v>
      </c>
      <c r="BC12" s="948">
        <f t="shared" si="6"/>
        <v>131982.89000000001</v>
      </c>
      <c r="BD12" s="417">
        <f>[1]Субсидия_факт!LB14</f>
        <v>0</v>
      </c>
      <c r="BE12" s="753"/>
    </row>
    <row r="13" spans="1:57" s="427" customFormat="1" ht="21" customHeight="1" x14ac:dyDescent="0.3">
      <c r="A13" s="431" t="s">
        <v>84</v>
      </c>
      <c r="B13" s="148">
        <f t="shared" si="0"/>
        <v>22624118.659999996</v>
      </c>
      <c r="C13" s="148">
        <f t="shared" si="1"/>
        <v>8975217.2799999975</v>
      </c>
      <c r="D13" s="151">
        <f>[1]Субсидия_факт!AV15</f>
        <v>400009.79</v>
      </c>
      <c r="E13" s="753">
        <v>113023.93</v>
      </c>
      <c r="F13" s="151">
        <f>[1]Субсидия_факт!BB15</f>
        <v>0</v>
      </c>
      <c r="G13" s="753"/>
      <c r="H13" s="151">
        <f>[1]Субсидия_факт!BD15</f>
        <v>0</v>
      </c>
      <c r="I13" s="753"/>
      <c r="J13" s="151">
        <f>[1]Субсидия_факт!BF15</f>
        <v>69354.61</v>
      </c>
      <c r="K13" s="948">
        <f t="shared" si="2"/>
        <v>69354.61</v>
      </c>
      <c r="L13" s="151">
        <f>[1]Субсидия_факт!BH15</f>
        <v>338085.59</v>
      </c>
      <c r="M13" s="753">
        <v>0</v>
      </c>
      <c r="N13" s="151">
        <f>[1]Субсидия_факт!DH15</f>
        <v>59337.79</v>
      </c>
      <c r="O13" s="948">
        <f t="shared" si="7"/>
        <v>59337.79</v>
      </c>
      <c r="P13" s="151">
        <f>[1]Субсидия_факт!CV15</f>
        <v>4897.6400000000003</v>
      </c>
      <c r="Q13" s="948">
        <f t="shared" si="8"/>
        <v>4897.6400000000003</v>
      </c>
      <c r="R13" s="151">
        <f>[1]Субсидия_факт!ET15</f>
        <v>653237.90999999992</v>
      </c>
      <c r="S13" s="948">
        <f t="shared" si="3"/>
        <v>653237.90999999992</v>
      </c>
      <c r="T13" s="1073">
        <f>[1]Субсидия_факт!EZ15</f>
        <v>0</v>
      </c>
      <c r="U13" s="1074"/>
      <c r="V13" s="151">
        <f>[1]Субсидия_факт!FH15</f>
        <v>16978415</v>
      </c>
      <c r="W13" s="753">
        <f>614214.9+6466400.21</f>
        <v>7080615.1100000003</v>
      </c>
      <c r="X13" s="151">
        <f>[1]Субсидия_факт!GH15</f>
        <v>74033.179999999993</v>
      </c>
      <c r="Y13" s="753"/>
      <c r="Z13" s="151">
        <f>[1]Субсидия_факт!GR15</f>
        <v>0</v>
      </c>
      <c r="AA13" s="753"/>
      <c r="AB13" s="151">
        <f>[1]Субсидия_факт!HF15</f>
        <v>0</v>
      </c>
      <c r="AC13" s="753"/>
      <c r="AD13" s="151">
        <f>[1]Субсидия_факт!HZ15</f>
        <v>3500000</v>
      </c>
      <c r="AE13" s="753">
        <v>448003.14</v>
      </c>
      <c r="AF13" s="151">
        <f>[1]Субсидия_факт!IF15</f>
        <v>0</v>
      </c>
      <c r="AG13" s="753"/>
      <c r="AH13" s="151">
        <f>[1]Субсидия_факт!IH15</f>
        <v>0</v>
      </c>
      <c r="AI13" s="948">
        <f t="shared" si="4"/>
        <v>0</v>
      </c>
      <c r="AJ13" s="151">
        <f>[1]Субсидия_факт!IJ15</f>
        <v>338288.13</v>
      </c>
      <c r="AK13" s="948">
        <f t="shared" si="5"/>
        <v>338288.13</v>
      </c>
      <c r="AL13" s="151">
        <f>[1]Субсидия_факт!IX15</f>
        <v>0</v>
      </c>
      <c r="AM13" s="753"/>
      <c r="AN13" s="151">
        <f>[1]Субсидия_факт!JJ15</f>
        <v>0</v>
      </c>
      <c r="AO13" s="753"/>
      <c r="AP13" s="151">
        <f>[1]Субсидия_факт!JP15</f>
        <v>0</v>
      </c>
      <c r="AQ13" s="753"/>
      <c r="AR13" s="1073"/>
      <c r="AS13" s="1074"/>
      <c r="AT13" s="1073">
        <f>[1]Субсидия_факт!JV15</f>
        <v>0</v>
      </c>
      <c r="AU13" s="1074"/>
      <c r="AV13" s="1073"/>
      <c r="AW13" s="1074"/>
      <c r="AX13" s="151">
        <f>[1]Субсидия_факт!JX15</f>
        <v>0</v>
      </c>
      <c r="AY13" s="753"/>
      <c r="AZ13" s="151">
        <f>[1]Субсидия_факт!KD15</f>
        <v>0</v>
      </c>
      <c r="BA13" s="753"/>
      <c r="BB13" s="151">
        <f>[1]Субсидия_факт!KV15</f>
        <v>208459.02</v>
      </c>
      <c r="BC13" s="948">
        <f t="shared" si="6"/>
        <v>208459.02</v>
      </c>
      <c r="BD13" s="417">
        <f>[1]Субсидия_факт!LB15</f>
        <v>0</v>
      </c>
      <c r="BE13" s="753"/>
    </row>
    <row r="14" spans="1:57" s="427" customFormat="1" ht="21" customHeight="1" x14ac:dyDescent="0.3">
      <c r="A14" s="431" t="s">
        <v>85</v>
      </c>
      <c r="B14" s="148">
        <f t="shared" si="0"/>
        <v>28871781.859999999</v>
      </c>
      <c r="C14" s="148">
        <f t="shared" si="1"/>
        <v>3594632.69</v>
      </c>
      <c r="D14" s="151">
        <f>[1]Субсидия_факт!AV16</f>
        <v>120002.94</v>
      </c>
      <c r="E14" s="753">
        <v>0</v>
      </c>
      <c r="F14" s="151">
        <f>[1]Субсидия_факт!BB16</f>
        <v>305665</v>
      </c>
      <c r="G14" s="753"/>
      <c r="H14" s="151">
        <f>[1]Субсидия_факт!BD16</f>
        <v>0</v>
      </c>
      <c r="I14" s="753"/>
      <c r="J14" s="151">
        <f>[1]Субсидия_факт!BF16</f>
        <v>94574.47</v>
      </c>
      <c r="K14" s="948">
        <f t="shared" si="2"/>
        <v>94574.47</v>
      </c>
      <c r="L14" s="151">
        <f>[1]Субсидия_факт!BH16</f>
        <v>3767990.23</v>
      </c>
      <c r="M14" s="753">
        <v>0</v>
      </c>
      <c r="N14" s="151">
        <f>[1]Субсидия_факт!DH16</f>
        <v>136691.76999999999</v>
      </c>
      <c r="O14" s="948">
        <f t="shared" si="7"/>
        <v>136691.76999999999</v>
      </c>
      <c r="P14" s="151">
        <f>[1]Субсидия_факт!CV16</f>
        <v>11194.61</v>
      </c>
      <c r="Q14" s="948">
        <f t="shared" si="8"/>
        <v>11194.61</v>
      </c>
      <c r="R14" s="151">
        <f>[1]Субсидия_факт!ET16</f>
        <v>2013276.91</v>
      </c>
      <c r="S14" s="948">
        <f t="shared" si="3"/>
        <v>2013276.91</v>
      </c>
      <c r="T14" s="1073">
        <f>[1]Субсидия_факт!EZ16</f>
        <v>0</v>
      </c>
      <c r="U14" s="1074"/>
      <c r="V14" s="151">
        <f>[1]Субсидия_факт!FH16</f>
        <v>19947056</v>
      </c>
      <c r="W14" s="753"/>
      <c r="X14" s="151">
        <f>[1]Субсидия_факт!GH16</f>
        <v>81514.490000000005</v>
      </c>
      <c r="Y14" s="753">
        <v>81514.490000000005</v>
      </c>
      <c r="Z14" s="151">
        <f>[1]Субсидия_факт!GR16</f>
        <v>0</v>
      </c>
      <c r="AA14" s="753"/>
      <c r="AB14" s="151">
        <f>[1]Субсидия_факт!HF16</f>
        <v>136435</v>
      </c>
      <c r="AC14" s="753"/>
      <c r="AD14" s="151">
        <f>[1]Субсидия_факт!HZ16</f>
        <v>0</v>
      </c>
      <c r="AE14" s="753"/>
      <c r="AF14" s="151">
        <f>[1]Субсидия_факт!IF16</f>
        <v>0</v>
      </c>
      <c r="AG14" s="753"/>
      <c r="AH14" s="151">
        <f>[1]Субсидия_факт!IH16</f>
        <v>0</v>
      </c>
      <c r="AI14" s="948">
        <f t="shared" si="4"/>
        <v>0</v>
      </c>
      <c r="AJ14" s="151">
        <f>[1]Субсидия_факт!IJ16</f>
        <v>952477.27999999991</v>
      </c>
      <c r="AK14" s="948">
        <f t="shared" si="5"/>
        <v>952477.27999999991</v>
      </c>
      <c r="AL14" s="151">
        <f>[1]Субсидия_факт!IX16</f>
        <v>0</v>
      </c>
      <c r="AM14" s="753"/>
      <c r="AN14" s="151">
        <f>[1]Субсидия_факт!JJ16</f>
        <v>0</v>
      </c>
      <c r="AO14" s="753"/>
      <c r="AP14" s="151">
        <f>[1]Субсидия_факт!JP16</f>
        <v>0</v>
      </c>
      <c r="AQ14" s="753"/>
      <c r="AR14" s="1073"/>
      <c r="AS14" s="1074"/>
      <c r="AT14" s="1073">
        <f>[1]Субсидия_факт!JV16</f>
        <v>0</v>
      </c>
      <c r="AU14" s="1074"/>
      <c r="AV14" s="1073"/>
      <c r="AW14" s="1074"/>
      <c r="AX14" s="151">
        <f>[1]Субсидия_факт!JX16</f>
        <v>1000000</v>
      </c>
      <c r="AY14" s="753"/>
      <c r="AZ14" s="151">
        <f>[1]Субсидия_факт!KD16</f>
        <v>0</v>
      </c>
      <c r="BA14" s="753"/>
      <c r="BB14" s="151">
        <f>[1]Субсидия_факт!KV16</f>
        <v>304903.15999999997</v>
      </c>
      <c r="BC14" s="948">
        <f t="shared" si="6"/>
        <v>304903.15999999997</v>
      </c>
      <c r="BD14" s="417">
        <f>[1]Субсидия_факт!LB16</f>
        <v>0</v>
      </c>
      <c r="BE14" s="753"/>
    </row>
    <row r="15" spans="1:57" s="427" customFormat="1" ht="21" customHeight="1" x14ac:dyDescent="0.3">
      <c r="A15" s="431" t="s">
        <v>86</v>
      </c>
      <c r="B15" s="148">
        <f t="shared" si="0"/>
        <v>19496325.939999998</v>
      </c>
      <c r="C15" s="148">
        <f t="shared" si="1"/>
        <v>5792109.620000001</v>
      </c>
      <c r="D15" s="151">
        <f>[1]Субсидия_факт!AV17</f>
        <v>308007.53999999998</v>
      </c>
      <c r="E15" s="753">
        <v>1600.04</v>
      </c>
      <c r="F15" s="151">
        <f>[1]Субсидия_факт!BB17</f>
        <v>0</v>
      </c>
      <c r="G15" s="753"/>
      <c r="H15" s="151">
        <f>[1]Субсидия_факт!BD17</f>
        <v>0</v>
      </c>
      <c r="I15" s="753"/>
      <c r="J15" s="151">
        <f>[1]Субсидия_факт!BF17</f>
        <v>52159.25</v>
      </c>
      <c r="K15" s="948">
        <f t="shared" si="2"/>
        <v>52159.25</v>
      </c>
      <c r="L15" s="151">
        <f>[1]Субсидия_факт!BH17</f>
        <v>775919.58</v>
      </c>
      <c r="M15" s="753">
        <v>304261.46999999997</v>
      </c>
      <c r="N15" s="151">
        <f>[1]Субсидия_факт!DH17</f>
        <v>82502.58</v>
      </c>
      <c r="O15" s="948">
        <f t="shared" si="7"/>
        <v>82502.58</v>
      </c>
      <c r="P15" s="151">
        <f>[1]Субсидия_факт!CV17</f>
        <v>6996.63</v>
      </c>
      <c r="Q15" s="948">
        <f t="shared" si="8"/>
        <v>6996.63</v>
      </c>
      <c r="R15" s="151">
        <f>[1]Субсидия_факт!ET17</f>
        <v>489600.94</v>
      </c>
      <c r="S15" s="948">
        <f t="shared" si="3"/>
        <v>489600.94</v>
      </c>
      <c r="T15" s="1073">
        <f>[1]Субсидия_факт!EZ17</f>
        <v>0</v>
      </c>
      <c r="U15" s="1074"/>
      <c r="V15" s="151">
        <f>[1]Субсидия_факт!FH17</f>
        <v>16948323</v>
      </c>
      <c r="W15" s="753">
        <v>4145607.29</v>
      </c>
      <c r="X15" s="151">
        <f>[1]Субсидия_факт!GH17</f>
        <v>0</v>
      </c>
      <c r="Y15" s="753"/>
      <c r="Z15" s="151">
        <f>[1]Субсидия_факт!GR17</f>
        <v>0</v>
      </c>
      <c r="AA15" s="753"/>
      <c r="AB15" s="151">
        <f>[1]Субсидия_факт!HF17</f>
        <v>123435</v>
      </c>
      <c r="AC15" s="753"/>
      <c r="AD15" s="151">
        <f>[1]Субсидия_факт!HZ17</f>
        <v>0</v>
      </c>
      <c r="AE15" s="753"/>
      <c r="AF15" s="151">
        <f>[1]Субсидия_факт!IF17</f>
        <v>0</v>
      </c>
      <c r="AG15" s="753"/>
      <c r="AH15" s="151">
        <f>[1]Субсидия_факт!IH17</f>
        <v>0</v>
      </c>
      <c r="AI15" s="948">
        <f t="shared" si="4"/>
        <v>0</v>
      </c>
      <c r="AJ15" s="151">
        <f>[1]Субсидия_факт!IJ17</f>
        <v>655758.52</v>
      </c>
      <c r="AK15" s="948">
        <f t="shared" si="5"/>
        <v>655758.52</v>
      </c>
      <c r="AL15" s="151">
        <f>[1]Субсидия_факт!IX17</f>
        <v>0</v>
      </c>
      <c r="AM15" s="753"/>
      <c r="AN15" s="151">
        <f>[1]Субсидия_факт!JJ17</f>
        <v>0</v>
      </c>
      <c r="AO15" s="753"/>
      <c r="AP15" s="151">
        <f>[1]Субсидия_факт!JP17</f>
        <v>0</v>
      </c>
      <c r="AQ15" s="753"/>
      <c r="AR15" s="1073"/>
      <c r="AS15" s="1074"/>
      <c r="AT15" s="1073">
        <f>[1]Субсидия_факт!JV17</f>
        <v>0</v>
      </c>
      <c r="AU15" s="1074"/>
      <c r="AV15" s="1073"/>
      <c r="AW15" s="1074"/>
      <c r="AX15" s="151">
        <f>[1]Субсидия_факт!JX17</f>
        <v>0</v>
      </c>
      <c r="AY15" s="753"/>
      <c r="AZ15" s="151">
        <f>[1]Субсидия_факт!KD17</f>
        <v>0</v>
      </c>
      <c r="BA15" s="753"/>
      <c r="BB15" s="151">
        <f>[1]Субсидия_факт!KV17</f>
        <v>53622.9</v>
      </c>
      <c r="BC15" s="948">
        <f t="shared" si="6"/>
        <v>53622.9</v>
      </c>
      <c r="BD15" s="417">
        <f>[1]Субсидия_факт!LB17</f>
        <v>0</v>
      </c>
      <c r="BE15" s="753"/>
    </row>
    <row r="16" spans="1:57" s="427" customFormat="1" ht="21" customHeight="1" x14ac:dyDescent="0.3">
      <c r="A16" s="431" t="s">
        <v>87</v>
      </c>
      <c r="B16" s="148">
        <f t="shared" si="0"/>
        <v>6662506.8900000006</v>
      </c>
      <c r="C16" s="148">
        <f t="shared" si="1"/>
        <v>3012257.37</v>
      </c>
      <c r="D16" s="151">
        <f>[1]Субсидия_факт!AV18</f>
        <v>403209.87</v>
      </c>
      <c r="E16" s="753">
        <v>91927.86</v>
      </c>
      <c r="F16" s="151">
        <f>[1]Субсидия_факт!BB18</f>
        <v>0</v>
      </c>
      <c r="G16" s="753"/>
      <c r="H16" s="151">
        <f>[1]Субсидия_факт!BD18</f>
        <v>0</v>
      </c>
      <c r="I16" s="753"/>
      <c r="J16" s="151">
        <f>[1]Субсидия_факт!BF18</f>
        <v>73940.039999999994</v>
      </c>
      <c r="K16" s="948">
        <f t="shared" si="2"/>
        <v>73940.039999999994</v>
      </c>
      <c r="L16" s="151">
        <f>[1]Субсидия_факт!BH18</f>
        <v>574745.51</v>
      </c>
      <c r="M16" s="753">
        <v>296400</v>
      </c>
      <c r="N16" s="151">
        <f>[1]Субсидия_факт!DH18</f>
        <v>81424.42</v>
      </c>
      <c r="O16" s="948">
        <f t="shared" si="7"/>
        <v>81424.42</v>
      </c>
      <c r="P16" s="151">
        <f>[1]Субсидия_факт!CV18</f>
        <v>26587.200000000001</v>
      </c>
      <c r="Q16" s="948">
        <f t="shared" si="8"/>
        <v>26587.200000000001</v>
      </c>
      <c r="R16" s="151">
        <f>[1]Субсидия_факт!ET18</f>
        <v>974835.32000000007</v>
      </c>
      <c r="S16" s="948">
        <f t="shared" si="3"/>
        <v>974835.32000000007</v>
      </c>
      <c r="T16" s="1073">
        <f>[1]Субсидия_факт!EZ18</f>
        <v>0</v>
      </c>
      <c r="U16" s="1074"/>
      <c r="V16" s="151">
        <f>[1]Субсидия_факт!FH18</f>
        <v>0</v>
      </c>
      <c r="W16" s="753"/>
      <c r="X16" s="151">
        <f>[1]Субсидия_факт!GH18</f>
        <v>0</v>
      </c>
      <c r="Y16" s="753"/>
      <c r="Z16" s="151">
        <f>[1]Субсидия_факт!GR18</f>
        <v>0</v>
      </c>
      <c r="AA16" s="753"/>
      <c r="AB16" s="151">
        <f>[1]Субсидия_факт!HF18</f>
        <v>0</v>
      </c>
      <c r="AC16" s="753"/>
      <c r="AD16" s="151">
        <f>[1]Субсидия_факт!HZ18</f>
        <v>3400000</v>
      </c>
      <c r="AE16" s="753">
        <v>339378</v>
      </c>
      <c r="AF16" s="151">
        <f>[1]Субсидия_факт!IF18</f>
        <v>0</v>
      </c>
      <c r="AG16" s="753"/>
      <c r="AH16" s="151">
        <f>[1]Субсидия_факт!IH18</f>
        <v>0</v>
      </c>
      <c r="AI16" s="948">
        <f t="shared" si="4"/>
        <v>0</v>
      </c>
      <c r="AJ16" s="151">
        <f>[1]Субсидия_факт!IJ18</f>
        <v>1047330.1799999999</v>
      </c>
      <c r="AK16" s="948">
        <f t="shared" si="5"/>
        <v>1047330.1799999999</v>
      </c>
      <c r="AL16" s="151">
        <f>[1]Субсидия_факт!IX18</f>
        <v>0</v>
      </c>
      <c r="AM16" s="753"/>
      <c r="AN16" s="151">
        <f>[1]Субсидия_факт!JJ18</f>
        <v>0</v>
      </c>
      <c r="AO16" s="753"/>
      <c r="AP16" s="151">
        <f>[1]Субсидия_факт!JP18</f>
        <v>0</v>
      </c>
      <c r="AQ16" s="753"/>
      <c r="AR16" s="1073"/>
      <c r="AS16" s="1074"/>
      <c r="AT16" s="1073">
        <f>[1]Субсидия_факт!JV18</f>
        <v>0</v>
      </c>
      <c r="AU16" s="1074"/>
      <c r="AV16" s="1073"/>
      <c r="AW16" s="1074"/>
      <c r="AX16" s="151">
        <f>[1]Субсидия_факт!JX18</f>
        <v>0</v>
      </c>
      <c r="AY16" s="753"/>
      <c r="AZ16" s="151">
        <f>[1]Субсидия_факт!KD18</f>
        <v>0</v>
      </c>
      <c r="BA16" s="753"/>
      <c r="BB16" s="151">
        <f>[1]Субсидия_факт!KV18</f>
        <v>80434.350000000006</v>
      </c>
      <c r="BC16" s="948">
        <f t="shared" si="6"/>
        <v>80434.350000000006</v>
      </c>
      <c r="BD16" s="417">
        <f>[1]Субсидия_факт!LB18</f>
        <v>0</v>
      </c>
      <c r="BE16" s="753"/>
    </row>
    <row r="17" spans="1:57" s="427" customFormat="1" ht="21" customHeight="1" x14ac:dyDescent="0.3">
      <c r="A17" s="431" t="s">
        <v>88</v>
      </c>
      <c r="B17" s="148">
        <f t="shared" si="0"/>
        <v>21868301.849999998</v>
      </c>
      <c r="C17" s="148">
        <f t="shared" si="1"/>
        <v>2763897.85</v>
      </c>
      <c r="D17" s="151">
        <f>[1]Субсидия_факт!AV19</f>
        <v>77475.58</v>
      </c>
      <c r="E17" s="753">
        <v>9884.34</v>
      </c>
      <c r="F17" s="151">
        <f>[1]Субсидия_факт!BB19</f>
        <v>0</v>
      </c>
      <c r="G17" s="753"/>
      <c r="H17" s="151">
        <f>[1]Субсидия_факт!BD19</f>
        <v>0</v>
      </c>
      <c r="I17" s="753"/>
      <c r="J17" s="151">
        <f>[1]Субсидия_факт!BF19</f>
        <v>36635.160000000003</v>
      </c>
      <c r="K17" s="948">
        <f t="shared" si="2"/>
        <v>36635.160000000003</v>
      </c>
      <c r="L17" s="151">
        <f>[1]Субсидия_факт!BH19</f>
        <v>3637880.06</v>
      </c>
      <c r="M17" s="753">
        <v>0</v>
      </c>
      <c r="N17" s="151">
        <f>[1]Субсидия_факт!DH19</f>
        <v>76010.19</v>
      </c>
      <c r="O17" s="948">
        <f t="shared" si="7"/>
        <v>76010.19</v>
      </c>
      <c r="P17" s="151">
        <f>[1]Субсидия_факт!CV19</f>
        <v>6996.63</v>
      </c>
      <c r="Q17" s="948">
        <f t="shared" si="8"/>
        <v>6996.63</v>
      </c>
      <c r="R17" s="151">
        <f>[1]Субсидия_факт!ET19</f>
        <v>495459.41000000003</v>
      </c>
      <c r="S17" s="948">
        <f t="shared" si="3"/>
        <v>495459.41000000003</v>
      </c>
      <c r="T17" s="1073">
        <f>[1]Субсидия_факт!EZ19</f>
        <v>0</v>
      </c>
      <c r="U17" s="1074"/>
      <c r="V17" s="151">
        <f>[1]Субсидия_факт!FH19</f>
        <v>15768143</v>
      </c>
      <c r="W17" s="753">
        <v>369210.3</v>
      </c>
      <c r="X17" s="151">
        <f>[1]Субсидия_факт!GH19</f>
        <v>66514.240000000005</v>
      </c>
      <c r="Y17" s="948">
        <f>X17</f>
        <v>66514.240000000005</v>
      </c>
      <c r="Z17" s="151">
        <f>[1]Субсидия_факт!GR19</f>
        <v>0</v>
      </c>
      <c r="AA17" s="753"/>
      <c r="AB17" s="151">
        <f>[1]Субсидия_факт!HF19</f>
        <v>113035</v>
      </c>
      <c r="AC17" s="948">
        <f>AB17</f>
        <v>113035</v>
      </c>
      <c r="AD17" s="151">
        <f>[1]Субсидия_факт!HZ19</f>
        <v>0</v>
      </c>
      <c r="AE17" s="753"/>
      <c r="AF17" s="151">
        <f>[1]Субсидия_факт!IF19</f>
        <v>0</v>
      </c>
      <c r="AG17" s="753"/>
      <c r="AH17" s="151">
        <f>[1]Субсидия_факт!IH19</f>
        <v>977500</v>
      </c>
      <c r="AI17" s="948">
        <f t="shared" si="4"/>
        <v>977500</v>
      </c>
      <c r="AJ17" s="151">
        <f>[1]Субсидия_факт!IJ19</f>
        <v>367285.48</v>
      </c>
      <c r="AK17" s="948">
        <f t="shared" si="5"/>
        <v>367285.48</v>
      </c>
      <c r="AL17" s="151">
        <f>[1]Субсидия_факт!IX19</f>
        <v>0</v>
      </c>
      <c r="AM17" s="753"/>
      <c r="AN17" s="151">
        <f>[1]Субсидия_факт!JJ19</f>
        <v>0</v>
      </c>
      <c r="AO17" s="753"/>
      <c r="AP17" s="151">
        <f>[1]Субсидия_факт!JP19</f>
        <v>0</v>
      </c>
      <c r="AQ17" s="753"/>
      <c r="AR17" s="1073"/>
      <c r="AS17" s="1074"/>
      <c r="AT17" s="1073">
        <f>[1]Субсидия_факт!JV19</f>
        <v>0</v>
      </c>
      <c r="AU17" s="1074"/>
      <c r="AV17" s="1073"/>
      <c r="AW17" s="1074"/>
      <c r="AX17" s="151">
        <f>[1]Субсидия_факт!JX19</f>
        <v>0</v>
      </c>
      <c r="AY17" s="753"/>
      <c r="AZ17" s="151">
        <f>[1]Субсидия_факт!KD19</f>
        <v>0</v>
      </c>
      <c r="BA17" s="753"/>
      <c r="BB17" s="151">
        <f>[1]Субсидия_факт!KV19</f>
        <v>245367.1</v>
      </c>
      <c r="BC17" s="948">
        <f t="shared" si="6"/>
        <v>245367.1</v>
      </c>
      <c r="BD17" s="417">
        <f>[1]Субсидия_факт!LB19</f>
        <v>0</v>
      </c>
      <c r="BE17" s="753"/>
    </row>
    <row r="18" spans="1:57" s="427" customFormat="1" ht="21" customHeight="1" x14ac:dyDescent="0.3">
      <c r="A18" s="431" t="s">
        <v>89</v>
      </c>
      <c r="B18" s="148">
        <f t="shared" si="0"/>
        <v>4199157.4399999995</v>
      </c>
      <c r="C18" s="148">
        <f t="shared" si="1"/>
        <v>2354821.4899999998</v>
      </c>
      <c r="D18" s="151">
        <f>[1]Субсидия_факт!AV20</f>
        <v>199162.77</v>
      </c>
      <c r="E18" s="753">
        <v>0</v>
      </c>
      <c r="F18" s="151">
        <f>[1]Субсидия_факт!BB20</f>
        <v>0</v>
      </c>
      <c r="G18" s="753"/>
      <c r="H18" s="151">
        <f>[1]Субсидия_факт!BD20</f>
        <v>0</v>
      </c>
      <c r="I18" s="753"/>
      <c r="J18" s="151">
        <f>[1]Субсидия_факт!BF20</f>
        <v>85095.91</v>
      </c>
      <c r="K18" s="948">
        <f t="shared" si="2"/>
        <v>85095.91</v>
      </c>
      <c r="L18" s="151">
        <f>[1]Субсидия_факт!BH20</f>
        <v>1595795.23</v>
      </c>
      <c r="M18" s="753">
        <v>51050.25</v>
      </c>
      <c r="N18" s="151">
        <f>[1]Субсидия_факт!DH20</f>
        <v>127964.94</v>
      </c>
      <c r="O18" s="948">
        <f t="shared" si="7"/>
        <v>127964.94</v>
      </c>
      <c r="P18" s="151">
        <f>[1]Субсидия_факт!CV20</f>
        <v>13851.92</v>
      </c>
      <c r="Q18" s="948">
        <f t="shared" si="8"/>
        <v>13851.92</v>
      </c>
      <c r="R18" s="151">
        <f>[1]Субсидия_факт!ET20</f>
        <v>1171010.46</v>
      </c>
      <c r="S18" s="948">
        <f t="shared" si="3"/>
        <v>1171010.46</v>
      </c>
      <c r="T18" s="1073">
        <f>[1]Субсидия_факт!EZ20</f>
        <v>0</v>
      </c>
      <c r="U18" s="1074"/>
      <c r="V18" s="151">
        <f>[1]Субсидия_факт!FH20</f>
        <v>0</v>
      </c>
      <c r="W18" s="753"/>
      <c r="X18" s="151">
        <f>[1]Субсидия_факт!GH20</f>
        <v>100428.2</v>
      </c>
      <c r="Y18" s="753"/>
      <c r="Z18" s="151">
        <f>[1]Субсидия_факт!GR20</f>
        <v>0</v>
      </c>
      <c r="AA18" s="753"/>
      <c r="AB18" s="151">
        <f>[1]Субсидия_факт!HF20</f>
        <v>0</v>
      </c>
      <c r="AC18" s="753"/>
      <c r="AD18" s="151">
        <f>[1]Субсидия_факт!HZ20</f>
        <v>0</v>
      </c>
      <c r="AE18" s="753"/>
      <c r="AF18" s="151">
        <f>[1]Субсидия_факт!IF20</f>
        <v>0</v>
      </c>
      <c r="AG18" s="753"/>
      <c r="AH18" s="151">
        <f>[1]Субсидия_факт!IH20</f>
        <v>0</v>
      </c>
      <c r="AI18" s="948">
        <f t="shared" si="4"/>
        <v>0</v>
      </c>
      <c r="AJ18" s="151">
        <f>[1]Субсидия_факт!IJ20</f>
        <v>624299.56999999995</v>
      </c>
      <c r="AK18" s="948">
        <f t="shared" si="5"/>
        <v>624299.56999999995</v>
      </c>
      <c r="AL18" s="151">
        <f>[1]Субсидия_факт!IX20</f>
        <v>0</v>
      </c>
      <c r="AM18" s="753"/>
      <c r="AN18" s="151">
        <f>[1]Субсидия_факт!JJ20</f>
        <v>0</v>
      </c>
      <c r="AO18" s="753"/>
      <c r="AP18" s="151">
        <f>[1]Субсидия_факт!JP20</f>
        <v>0</v>
      </c>
      <c r="AQ18" s="753"/>
      <c r="AR18" s="1073"/>
      <c r="AS18" s="1074"/>
      <c r="AT18" s="1073">
        <f>[1]Субсидия_факт!JV20</f>
        <v>0</v>
      </c>
      <c r="AU18" s="1074"/>
      <c r="AV18" s="1073"/>
      <c r="AW18" s="1074"/>
      <c r="AX18" s="151">
        <f>[1]Субсидия_факт!JX20</f>
        <v>0</v>
      </c>
      <c r="AY18" s="753"/>
      <c r="AZ18" s="151">
        <f>[1]Субсидия_факт!KD20</f>
        <v>0</v>
      </c>
      <c r="BA18" s="753"/>
      <c r="BB18" s="151">
        <f>[1]Субсидия_факт!KV20</f>
        <v>281548.44</v>
      </c>
      <c r="BC18" s="948">
        <f t="shared" si="6"/>
        <v>281548.44</v>
      </c>
      <c r="BD18" s="417">
        <f>[1]Субсидия_факт!LB20</f>
        <v>0</v>
      </c>
      <c r="BE18" s="753"/>
    </row>
    <row r="19" spans="1:57" s="427" customFormat="1" ht="21" customHeight="1" x14ac:dyDescent="0.3">
      <c r="A19" s="431" t="s">
        <v>90</v>
      </c>
      <c r="B19" s="148">
        <f t="shared" si="0"/>
        <v>13296620.15</v>
      </c>
      <c r="C19" s="148">
        <f t="shared" si="1"/>
        <v>1872876.34</v>
      </c>
      <c r="D19" s="151">
        <f>[1]Субсидия_факт!AV21</f>
        <v>197899.58</v>
      </c>
      <c r="E19" s="753">
        <v>14783.11</v>
      </c>
      <c r="F19" s="151">
        <f>[1]Субсидия_факт!BB21</f>
        <v>0</v>
      </c>
      <c r="G19" s="753"/>
      <c r="H19" s="151">
        <f>[1]Субсидия_факт!BD21</f>
        <v>0</v>
      </c>
      <c r="I19" s="753"/>
      <c r="J19" s="151">
        <f>[1]Субсидия_факт!BF21</f>
        <v>90743.23</v>
      </c>
      <c r="K19" s="948">
        <f t="shared" si="2"/>
        <v>90743.23</v>
      </c>
      <c r="L19" s="151">
        <f>[1]Субсидия_факт!BH21</f>
        <v>2341687.58</v>
      </c>
      <c r="M19" s="753">
        <v>0</v>
      </c>
      <c r="N19" s="151">
        <f>[1]Субсидия_факт!DH21</f>
        <v>95354.54</v>
      </c>
      <c r="O19" s="948">
        <f t="shared" si="7"/>
        <v>95354.54</v>
      </c>
      <c r="P19" s="151">
        <f>[1]Субсидия_факт!CV21</f>
        <v>7696.29</v>
      </c>
      <c r="Q19" s="948">
        <f t="shared" si="8"/>
        <v>7696.29</v>
      </c>
      <c r="R19" s="151">
        <f>[1]Субсидия_факт!ET21</f>
        <v>417952.91</v>
      </c>
      <c r="S19" s="948">
        <f t="shared" si="3"/>
        <v>417952.91</v>
      </c>
      <c r="T19" s="1073">
        <f>[1]Субсидия_факт!EZ21</f>
        <v>0</v>
      </c>
      <c r="U19" s="1074"/>
      <c r="V19" s="151">
        <f>[1]Субсидия_факт!FH21</f>
        <v>2221158.2000000002</v>
      </c>
      <c r="W19" s="753"/>
      <c r="X19" s="151">
        <f>[1]Субсидия_факт!GH21</f>
        <v>71363.8</v>
      </c>
      <c r="Y19" s="753"/>
      <c r="Z19" s="151">
        <f>[1]Субсидия_факт!GR21</f>
        <v>0</v>
      </c>
      <c r="AA19" s="753"/>
      <c r="AB19" s="151">
        <f>[1]Субсидия_факт!HF21</f>
        <v>117585</v>
      </c>
      <c r="AC19" s="753"/>
      <c r="AD19" s="151">
        <f>[1]Субсидия_факт!HZ21</f>
        <v>7000000</v>
      </c>
      <c r="AE19" s="753">
        <v>511167.24</v>
      </c>
      <c r="AF19" s="151">
        <f>[1]Субсидия_факт!IF21</f>
        <v>0</v>
      </c>
      <c r="AG19" s="753"/>
      <c r="AH19" s="151">
        <f>[1]Субсидия_факт!IH21</f>
        <v>0</v>
      </c>
      <c r="AI19" s="948">
        <f t="shared" si="4"/>
        <v>0</v>
      </c>
      <c r="AJ19" s="151">
        <f>[1]Субсидия_факт!IJ21</f>
        <v>537536.30000000005</v>
      </c>
      <c r="AK19" s="948">
        <f t="shared" si="5"/>
        <v>537536.30000000005</v>
      </c>
      <c r="AL19" s="151">
        <f>[1]Субсидия_факт!IX21</f>
        <v>0</v>
      </c>
      <c r="AM19" s="753"/>
      <c r="AN19" s="151">
        <f>[1]Субсидия_факт!JJ21</f>
        <v>0</v>
      </c>
      <c r="AO19" s="753"/>
      <c r="AP19" s="151">
        <f>[1]Субсидия_факт!JP21</f>
        <v>0</v>
      </c>
      <c r="AQ19" s="753"/>
      <c r="AR19" s="1073"/>
      <c r="AS19" s="1074"/>
      <c r="AT19" s="1073">
        <f>[1]Субсидия_факт!JV21</f>
        <v>0</v>
      </c>
      <c r="AU19" s="1074"/>
      <c r="AV19" s="1073"/>
      <c r="AW19" s="1074"/>
      <c r="AX19" s="151">
        <f>[1]Субсидия_факт!JX21</f>
        <v>0</v>
      </c>
      <c r="AY19" s="753"/>
      <c r="AZ19" s="151">
        <f>[1]Субсидия_факт!KD21</f>
        <v>0</v>
      </c>
      <c r="BA19" s="753"/>
      <c r="BB19" s="151">
        <f>[1]Субсидия_факт!KV21</f>
        <v>197642.72</v>
      </c>
      <c r="BC19" s="948">
        <f t="shared" si="6"/>
        <v>197642.72</v>
      </c>
      <c r="BD19" s="417">
        <f>[1]Субсидия_факт!LB21</f>
        <v>0</v>
      </c>
      <c r="BE19" s="753"/>
    </row>
    <row r="20" spans="1:57" s="427" customFormat="1" ht="21" customHeight="1" x14ac:dyDescent="0.3">
      <c r="A20" s="431" t="s">
        <v>91</v>
      </c>
      <c r="B20" s="148">
        <f t="shared" si="0"/>
        <v>6986432.7799999993</v>
      </c>
      <c r="C20" s="148">
        <f t="shared" si="1"/>
        <v>5664811.8300000001</v>
      </c>
      <c r="D20" s="151">
        <f>[1]Субсидия_факт!AV22</f>
        <v>189478.32</v>
      </c>
      <c r="E20" s="753">
        <v>0</v>
      </c>
      <c r="F20" s="151">
        <f>[1]Субсидия_факт!BB22</f>
        <v>0</v>
      </c>
      <c r="G20" s="753"/>
      <c r="H20" s="151">
        <f>[1]Субсидия_факт!BD22</f>
        <v>0</v>
      </c>
      <c r="I20" s="753"/>
      <c r="J20" s="151">
        <f>[1]Субсидия_факт!BF22</f>
        <v>122177.55</v>
      </c>
      <c r="K20" s="948">
        <f t="shared" si="2"/>
        <v>122177.55</v>
      </c>
      <c r="L20" s="151">
        <f>[1]Субсидия_факт!BH22</f>
        <v>1014256.78</v>
      </c>
      <c r="M20" s="753">
        <v>0</v>
      </c>
      <c r="N20" s="151">
        <f>[1]Субсидия_факт!DH22</f>
        <v>182990.09</v>
      </c>
      <c r="O20" s="948">
        <f t="shared" si="7"/>
        <v>182990.09</v>
      </c>
      <c r="P20" s="151">
        <f>[1]Субсидия_факт!CV22</f>
        <v>10388.94</v>
      </c>
      <c r="Q20" s="948">
        <f t="shared" si="8"/>
        <v>10388.94</v>
      </c>
      <c r="R20" s="151">
        <f>[1]Субсидия_факт!ET22</f>
        <v>707383.3</v>
      </c>
      <c r="S20" s="948">
        <f t="shared" si="3"/>
        <v>707383.3</v>
      </c>
      <c r="T20" s="1073">
        <f>[1]Субсидия_факт!EZ22</f>
        <v>0</v>
      </c>
      <c r="U20" s="1074"/>
      <c r="V20" s="151">
        <f>[1]Субсидия_факт!FH22</f>
        <v>0</v>
      </c>
      <c r="W20" s="753"/>
      <c r="X20" s="151">
        <f>[1]Субсидия_факт!GH22</f>
        <v>117885.85</v>
      </c>
      <c r="Y20" s="753"/>
      <c r="Z20" s="151">
        <f>[1]Субсидия_факт!GR22</f>
        <v>0</v>
      </c>
      <c r="AA20" s="753"/>
      <c r="AB20" s="151">
        <f>[1]Субсидия_факт!HF22</f>
        <v>0</v>
      </c>
      <c r="AC20" s="753"/>
      <c r="AD20" s="151">
        <f>[1]Субсидия_факт!HZ22</f>
        <v>0</v>
      </c>
      <c r="AE20" s="753"/>
      <c r="AF20" s="151">
        <f>[1]Субсидия_факт!IF22</f>
        <v>0</v>
      </c>
      <c r="AG20" s="753"/>
      <c r="AH20" s="151">
        <f>[1]Субсидия_факт!IH22</f>
        <v>1800000</v>
      </c>
      <c r="AI20" s="948">
        <f t="shared" si="4"/>
        <v>1800000</v>
      </c>
      <c r="AJ20" s="151">
        <f>[1]Субсидия_факт!IJ22</f>
        <v>2638669.38</v>
      </c>
      <c r="AK20" s="948">
        <f t="shared" si="5"/>
        <v>2638669.38</v>
      </c>
      <c r="AL20" s="151">
        <f>[1]Субсидия_факт!IX22</f>
        <v>0</v>
      </c>
      <c r="AM20" s="753"/>
      <c r="AN20" s="151">
        <f>[1]Субсидия_факт!JJ22</f>
        <v>0</v>
      </c>
      <c r="AO20" s="753"/>
      <c r="AP20" s="151">
        <f>[1]Субсидия_факт!JP22</f>
        <v>0</v>
      </c>
      <c r="AQ20" s="753"/>
      <c r="AR20" s="1073"/>
      <c r="AS20" s="1074"/>
      <c r="AT20" s="1073">
        <f>[1]Субсидия_факт!JV22</f>
        <v>0</v>
      </c>
      <c r="AU20" s="1074"/>
      <c r="AV20" s="1073"/>
      <c r="AW20" s="1074"/>
      <c r="AX20" s="151">
        <f>[1]Субсидия_факт!JX22</f>
        <v>0</v>
      </c>
      <c r="AY20" s="753"/>
      <c r="AZ20" s="151">
        <f>[1]Субсидия_факт!KD22</f>
        <v>0</v>
      </c>
      <c r="BA20" s="753"/>
      <c r="BB20" s="151">
        <f>[1]Субсидия_факт!KV22</f>
        <v>203202.57</v>
      </c>
      <c r="BC20" s="948">
        <f t="shared" si="6"/>
        <v>203202.57</v>
      </c>
      <c r="BD20" s="417">
        <f>[1]Субсидия_факт!LB22</f>
        <v>0</v>
      </c>
      <c r="BE20" s="753"/>
    </row>
    <row r="21" spans="1:57" s="427" customFormat="1" ht="21" customHeight="1" x14ac:dyDescent="0.3">
      <c r="A21" s="431" t="s">
        <v>92</v>
      </c>
      <c r="B21" s="148">
        <f t="shared" si="0"/>
        <v>26846730.690000005</v>
      </c>
      <c r="C21" s="148">
        <f t="shared" si="1"/>
        <v>11709917.550000003</v>
      </c>
      <c r="D21" s="151">
        <f>[1]Субсидия_факт!AV23</f>
        <v>163709.26999999999</v>
      </c>
      <c r="E21" s="753">
        <v>17803.38</v>
      </c>
      <c r="F21" s="151">
        <f>[1]Субсидия_факт!BB23</f>
        <v>0</v>
      </c>
      <c r="G21" s="753"/>
      <c r="H21" s="151">
        <f>[1]Субсидия_факт!BD23</f>
        <v>0</v>
      </c>
      <c r="I21" s="753"/>
      <c r="J21" s="151">
        <f>[1]Субсидия_факт!BF23</f>
        <v>67333.399999999994</v>
      </c>
      <c r="K21" s="948">
        <f t="shared" si="2"/>
        <v>67333.399999999994</v>
      </c>
      <c r="L21" s="151">
        <f>[1]Субсидия_факт!BH23</f>
        <v>0</v>
      </c>
      <c r="M21" s="753"/>
      <c r="N21" s="151">
        <f>[1]Субсидия_факт!DH23</f>
        <v>100440.64</v>
      </c>
      <c r="O21" s="948">
        <f t="shared" si="7"/>
        <v>100440.64</v>
      </c>
      <c r="P21" s="151">
        <f>[1]Субсидия_факт!CV23</f>
        <v>10494.95</v>
      </c>
      <c r="Q21" s="948">
        <f t="shared" si="8"/>
        <v>10494.95</v>
      </c>
      <c r="R21" s="151">
        <f>[1]Субсидия_факт!ET23</f>
        <v>211669.16999999998</v>
      </c>
      <c r="S21" s="948">
        <f t="shared" si="3"/>
        <v>211669.16999999998</v>
      </c>
      <c r="T21" s="1073">
        <f>[1]Субсидия_факт!EZ23</f>
        <v>0</v>
      </c>
      <c r="U21" s="1074"/>
      <c r="V21" s="151">
        <f>[1]Субсидия_факт!FH23</f>
        <v>22453658</v>
      </c>
      <c r="W21" s="753">
        <v>9956354.8200000003</v>
      </c>
      <c r="X21" s="151">
        <f>[1]Субсидия_факт!GH23</f>
        <v>69604.070000000007</v>
      </c>
      <c r="Y21" s="753"/>
      <c r="Z21" s="151">
        <f>[1]Субсидия_факт!GR23</f>
        <v>0</v>
      </c>
      <c r="AA21" s="753"/>
      <c r="AB21" s="151">
        <f>[1]Субсидия_факт!HF23</f>
        <v>0</v>
      </c>
      <c r="AC21" s="753"/>
      <c r="AD21" s="151">
        <f>[1]Субсидия_факт!HZ23</f>
        <v>3000000</v>
      </c>
      <c r="AE21" s="753">
        <v>576000</v>
      </c>
      <c r="AF21" s="151">
        <f>[1]Субсидия_факт!IF23</f>
        <v>0</v>
      </c>
      <c r="AG21" s="753"/>
      <c r="AH21" s="151">
        <f>[1]Субсидия_факт!IH23</f>
        <v>0</v>
      </c>
      <c r="AI21" s="948">
        <f t="shared" si="4"/>
        <v>0</v>
      </c>
      <c r="AJ21" s="151">
        <f>[1]Субсидия_факт!IJ23</f>
        <v>434917.95999999996</v>
      </c>
      <c r="AK21" s="948">
        <f t="shared" si="5"/>
        <v>434917.95999999996</v>
      </c>
      <c r="AL21" s="151">
        <f>[1]Субсидия_факт!IX23</f>
        <v>0</v>
      </c>
      <c r="AM21" s="753"/>
      <c r="AN21" s="151">
        <f>[1]Субсидия_факт!JJ23</f>
        <v>0</v>
      </c>
      <c r="AO21" s="753"/>
      <c r="AP21" s="151">
        <f>[1]Субсидия_факт!JP23</f>
        <v>0</v>
      </c>
      <c r="AQ21" s="753"/>
      <c r="AR21" s="1073"/>
      <c r="AS21" s="1074"/>
      <c r="AT21" s="1073">
        <f>[1]Субсидия_факт!JV23</f>
        <v>0</v>
      </c>
      <c r="AU21" s="1074"/>
      <c r="AV21" s="1073"/>
      <c r="AW21" s="1074"/>
      <c r="AX21" s="151">
        <f>[1]Субсидия_факт!JX23</f>
        <v>0</v>
      </c>
      <c r="AY21" s="753"/>
      <c r="AZ21" s="151">
        <f>[1]Субсидия_факт!KD23</f>
        <v>0</v>
      </c>
      <c r="BA21" s="753"/>
      <c r="BB21" s="151">
        <f>[1]Субсидия_факт!KV23</f>
        <v>334903.23</v>
      </c>
      <c r="BC21" s="948">
        <f t="shared" si="6"/>
        <v>334903.23</v>
      </c>
      <c r="BD21" s="417">
        <f>[1]Субсидия_факт!LB23</f>
        <v>0</v>
      </c>
      <c r="BE21" s="753"/>
    </row>
    <row r="22" spans="1:57" s="427" customFormat="1" ht="21" customHeight="1" x14ac:dyDescent="0.3">
      <c r="A22" s="431" t="s">
        <v>93</v>
      </c>
      <c r="B22" s="148">
        <f t="shared" si="0"/>
        <v>28379216.68</v>
      </c>
      <c r="C22" s="148">
        <f t="shared" si="1"/>
        <v>4072103.3199999994</v>
      </c>
      <c r="D22" s="151">
        <f>[1]Субсидия_факт!AV24</f>
        <v>116213.37</v>
      </c>
      <c r="E22" s="753">
        <v>0</v>
      </c>
      <c r="F22" s="151">
        <f>[1]Субсидия_факт!BB24</f>
        <v>0</v>
      </c>
      <c r="G22" s="753"/>
      <c r="H22" s="151">
        <f>[1]Субсидия_факт!BD24</f>
        <v>0</v>
      </c>
      <c r="I22" s="753"/>
      <c r="J22" s="151">
        <f>[1]Субсидия_факт!BF24</f>
        <v>70494.94</v>
      </c>
      <c r="K22" s="948">
        <f t="shared" si="2"/>
        <v>70494.94</v>
      </c>
      <c r="L22" s="151">
        <f>[1]Субсидия_факт!BH24</f>
        <v>0</v>
      </c>
      <c r="M22" s="753">
        <v>0</v>
      </c>
      <c r="N22" s="151">
        <f>[1]Субсидия_факт!DH24</f>
        <v>107925.25</v>
      </c>
      <c r="O22" s="948">
        <f t="shared" si="7"/>
        <v>107925.25</v>
      </c>
      <c r="P22" s="151">
        <f>[1]Субсидия_факт!CV24</f>
        <v>8395.9599999999991</v>
      </c>
      <c r="Q22" s="948">
        <f t="shared" si="8"/>
        <v>8395.9599999999991</v>
      </c>
      <c r="R22" s="151">
        <f>[1]Субсидия_факт!ET24</f>
        <v>545820.44999999995</v>
      </c>
      <c r="S22" s="948">
        <f t="shared" si="3"/>
        <v>545820.44999999995</v>
      </c>
      <c r="T22" s="1073">
        <f>[1]Субсидия_факт!EZ24</f>
        <v>0</v>
      </c>
      <c r="U22" s="1074"/>
      <c r="V22" s="151">
        <f>[1]Субсидия_факт!FH24</f>
        <v>15822189</v>
      </c>
      <c r="W22" s="753">
        <v>1625696.29</v>
      </c>
      <c r="X22" s="151">
        <f>[1]Субсидия_факт!GH24</f>
        <v>77978.12</v>
      </c>
      <c r="Y22" s="753"/>
      <c r="Z22" s="151">
        <f>[1]Субсидия_факт!GR24</f>
        <v>0</v>
      </c>
      <c r="AA22" s="753"/>
      <c r="AB22" s="151">
        <f>[1]Субсидия_факт!HF24</f>
        <v>109785</v>
      </c>
      <c r="AC22" s="753"/>
      <c r="AD22" s="151">
        <f>[1]Субсидия_факт!HZ24</f>
        <v>6000000</v>
      </c>
      <c r="AE22" s="753">
        <v>593355.84</v>
      </c>
      <c r="AF22" s="151">
        <f>[1]Субсидия_факт!IF24</f>
        <v>0</v>
      </c>
      <c r="AG22" s="753"/>
      <c r="AH22" s="151">
        <f>[1]Субсидия_факт!IH24</f>
        <v>0</v>
      </c>
      <c r="AI22" s="948">
        <f t="shared" si="4"/>
        <v>0</v>
      </c>
      <c r="AJ22" s="151">
        <f>[1]Субсидия_факт!IJ24</f>
        <v>840607.82000000007</v>
      </c>
      <c r="AK22" s="948">
        <f t="shared" si="5"/>
        <v>840607.82000000007</v>
      </c>
      <c r="AL22" s="151">
        <f>[1]Субсидия_факт!IX24</f>
        <v>0</v>
      </c>
      <c r="AM22" s="753"/>
      <c r="AN22" s="151">
        <f>[1]Субсидия_факт!JJ24</f>
        <v>0</v>
      </c>
      <c r="AO22" s="753"/>
      <c r="AP22" s="151">
        <f>[1]Субсидия_факт!JP24</f>
        <v>0</v>
      </c>
      <c r="AQ22" s="753"/>
      <c r="AR22" s="1073"/>
      <c r="AS22" s="1074"/>
      <c r="AT22" s="1073">
        <f>[1]Субсидия_факт!JV24</f>
        <v>0</v>
      </c>
      <c r="AU22" s="1074"/>
      <c r="AV22" s="1073"/>
      <c r="AW22" s="1074"/>
      <c r="AX22" s="151">
        <f>[1]Субсидия_факт!JX24</f>
        <v>4400000</v>
      </c>
      <c r="AY22" s="753"/>
      <c r="AZ22" s="151">
        <f>[1]Субсидия_факт!KD24</f>
        <v>0</v>
      </c>
      <c r="BA22" s="753"/>
      <c r="BB22" s="151">
        <f>[1]Субсидия_факт!KV24</f>
        <v>279806.77</v>
      </c>
      <c r="BC22" s="948">
        <f t="shared" si="6"/>
        <v>279806.77</v>
      </c>
      <c r="BD22" s="417">
        <f>[1]Субсидия_факт!LB24</f>
        <v>0</v>
      </c>
      <c r="BE22" s="753"/>
    </row>
    <row r="23" spans="1:57" s="427" customFormat="1" ht="21" customHeight="1" x14ac:dyDescent="0.3">
      <c r="A23" s="431" t="s">
        <v>94</v>
      </c>
      <c r="B23" s="148">
        <f t="shared" si="0"/>
        <v>11690509.640000001</v>
      </c>
      <c r="C23" s="148">
        <f t="shared" si="1"/>
        <v>3971774.7199999997</v>
      </c>
      <c r="D23" s="151">
        <f>[1]Субсидия_факт!AV25</f>
        <v>240005.88</v>
      </c>
      <c r="E23" s="753">
        <v>80869.55</v>
      </c>
      <c r="F23" s="151">
        <f>[1]Субсидия_факт!BB25</f>
        <v>0</v>
      </c>
      <c r="G23" s="753"/>
      <c r="H23" s="151">
        <f>[1]Субсидия_факт!BD25</f>
        <v>0</v>
      </c>
      <c r="I23" s="753"/>
      <c r="J23" s="151">
        <f>[1]Субсидия_факт!BF25</f>
        <v>94001.29</v>
      </c>
      <c r="K23" s="948">
        <f t="shared" si="2"/>
        <v>94001.29</v>
      </c>
      <c r="L23" s="151">
        <f>[1]Субсидия_факт!BH25</f>
        <v>2965663.09</v>
      </c>
      <c r="M23" s="753">
        <v>0</v>
      </c>
      <c r="N23" s="151">
        <f>[1]Субсидия_факт!DH25</f>
        <v>51884.43</v>
      </c>
      <c r="O23" s="948">
        <f t="shared" si="7"/>
        <v>51884.43</v>
      </c>
      <c r="P23" s="151">
        <f>[1]Субсидия_факт!CV25</f>
        <v>12593.94</v>
      </c>
      <c r="Q23" s="948">
        <f t="shared" si="8"/>
        <v>12593.94</v>
      </c>
      <c r="R23" s="151">
        <f>[1]Субсидия_факт!ET25</f>
        <v>1499914.58</v>
      </c>
      <c r="S23" s="948">
        <f t="shared" si="3"/>
        <v>1499914.58</v>
      </c>
      <c r="T23" s="1073">
        <f>[1]Субсидия_факт!EZ25</f>
        <v>0</v>
      </c>
      <c r="U23" s="1074"/>
      <c r="V23" s="151">
        <f>[1]Субсидия_факт!FH25</f>
        <v>5631318</v>
      </c>
      <c r="W23" s="753">
        <v>1135819.67</v>
      </c>
      <c r="X23" s="151">
        <f>[1]Субсидия_факт!GH25</f>
        <v>98437.17</v>
      </c>
      <c r="Y23" s="753"/>
      <c r="Z23" s="151">
        <f>[1]Субсидия_факт!GR25</f>
        <v>0</v>
      </c>
      <c r="AA23" s="753"/>
      <c r="AB23" s="151">
        <f>[1]Субсидия_факт!HF25</f>
        <v>0</v>
      </c>
      <c r="AC23" s="753"/>
      <c r="AD23" s="151">
        <f>[1]Субсидия_факт!HZ25</f>
        <v>0</v>
      </c>
      <c r="AE23" s="753"/>
      <c r="AF23" s="151">
        <f>[1]Субсидия_факт!IF25</f>
        <v>0</v>
      </c>
      <c r="AG23" s="753"/>
      <c r="AH23" s="151">
        <f>[1]Субсидия_факт!IH25</f>
        <v>0</v>
      </c>
      <c r="AI23" s="948">
        <f t="shared" si="4"/>
        <v>0</v>
      </c>
      <c r="AJ23" s="151">
        <f>[1]Субсидия_факт!IJ25</f>
        <v>949464.23</v>
      </c>
      <c r="AK23" s="948">
        <f t="shared" si="5"/>
        <v>949464.23</v>
      </c>
      <c r="AL23" s="151">
        <f>[1]Субсидия_факт!IX25</f>
        <v>0</v>
      </c>
      <c r="AM23" s="753"/>
      <c r="AN23" s="151">
        <f>[1]Субсидия_факт!JJ25</f>
        <v>0</v>
      </c>
      <c r="AO23" s="753"/>
      <c r="AP23" s="151">
        <f>[1]Субсидия_факт!JP25</f>
        <v>0</v>
      </c>
      <c r="AQ23" s="753"/>
      <c r="AR23" s="1073"/>
      <c r="AS23" s="1074"/>
      <c r="AT23" s="1073">
        <f>[1]Субсидия_факт!JV25</f>
        <v>0</v>
      </c>
      <c r="AU23" s="1074"/>
      <c r="AV23" s="1073"/>
      <c r="AW23" s="1074"/>
      <c r="AX23" s="151">
        <f>[1]Субсидия_факт!JX25</f>
        <v>0</v>
      </c>
      <c r="AY23" s="753"/>
      <c r="AZ23" s="151">
        <f>[1]Субсидия_факт!KD25</f>
        <v>0</v>
      </c>
      <c r="BA23" s="753"/>
      <c r="BB23" s="151">
        <f>[1]Субсидия_факт!KV25</f>
        <v>147227.03</v>
      </c>
      <c r="BC23" s="948">
        <f t="shared" si="6"/>
        <v>147227.03</v>
      </c>
      <c r="BD23" s="417">
        <f>[1]Субсидия_факт!LB25</f>
        <v>0</v>
      </c>
      <c r="BE23" s="753"/>
    </row>
    <row r="24" spans="1:57" s="427" customFormat="1" ht="21" customHeight="1" x14ac:dyDescent="0.3">
      <c r="A24" s="431" t="s">
        <v>95</v>
      </c>
      <c r="B24" s="148">
        <f t="shared" si="0"/>
        <v>19448482.309999999</v>
      </c>
      <c r="C24" s="148">
        <f t="shared" si="1"/>
        <v>2339586.39</v>
      </c>
      <c r="D24" s="151">
        <f>[1]Субсидия_факт!AV26</f>
        <v>325692.18</v>
      </c>
      <c r="E24" s="753">
        <v>49501.38</v>
      </c>
      <c r="F24" s="151">
        <f>[1]Субсидия_факт!BB26</f>
        <v>0</v>
      </c>
      <c r="G24" s="753"/>
      <c r="H24" s="151">
        <f>[1]Субсидия_факт!BD26</f>
        <v>0</v>
      </c>
      <c r="I24" s="753"/>
      <c r="J24" s="151">
        <f>[1]Субсидия_факт!BF26</f>
        <v>58747.79</v>
      </c>
      <c r="K24" s="948">
        <f t="shared" si="2"/>
        <v>58747.79</v>
      </c>
      <c r="L24" s="151">
        <f>[1]Субсидия_факт!BH26</f>
        <v>3207018.64</v>
      </c>
      <c r="M24" s="753">
        <v>196193.08</v>
      </c>
      <c r="N24" s="151">
        <f>[1]Субсидия_факт!DH26</f>
        <v>92752.9</v>
      </c>
      <c r="O24" s="948">
        <f t="shared" si="7"/>
        <v>92752.9</v>
      </c>
      <c r="P24" s="151">
        <f>[1]Субсидия_факт!CV26</f>
        <v>6996.63</v>
      </c>
      <c r="Q24" s="948">
        <f t="shared" si="8"/>
        <v>6996.63</v>
      </c>
      <c r="R24" s="151">
        <f>[1]Субсидия_факт!ET26</f>
        <v>814873.54</v>
      </c>
      <c r="S24" s="948">
        <f t="shared" si="3"/>
        <v>814873.54</v>
      </c>
      <c r="T24" s="1073">
        <f>[1]Субсидия_факт!EZ26</f>
        <v>0</v>
      </c>
      <c r="U24" s="1074"/>
      <c r="V24" s="151">
        <f>[1]Субсидия_факт!FH26</f>
        <v>11139349</v>
      </c>
      <c r="W24" s="753"/>
      <c r="X24" s="151">
        <f>[1]Субсидия_факт!GH26</f>
        <v>80545.56</v>
      </c>
      <c r="Y24" s="753"/>
      <c r="Z24" s="151">
        <f>[1]Субсидия_факт!GR26</f>
        <v>0</v>
      </c>
      <c r="AA24" s="753"/>
      <c r="AB24" s="151">
        <f>[1]Субсидия_факт!HF26</f>
        <v>101985</v>
      </c>
      <c r="AC24" s="753"/>
      <c r="AD24" s="151">
        <f>[1]Субсидия_факт!HZ26</f>
        <v>0</v>
      </c>
      <c r="AE24" s="753"/>
      <c r="AF24" s="151">
        <f>[1]Субсидия_факт!IF26</f>
        <v>0</v>
      </c>
      <c r="AG24" s="753"/>
      <c r="AH24" s="151">
        <f>[1]Субсидия_факт!IH26</f>
        <v>0</v>
      </c>
      <c r="AI24" s="948">
        <f t="shared" si="4"/>
        <v>0</v>
      </c>
      <c r="AJ24" s="151">
        <f>[1]Субсидия_факт!IJ26</f>
        <v>815540.83000000007</v>
      </c>
      <c r="AK24" s="948">
        <f t="shared" si="5"/>
        <v>815540.83000000007</v>
      </c>
      <c r="AL24" s="151">
        <f>[1]Субсидия_факт!IX26</f>
        <v>0</v>
      </c>
      <c r="AM24" s="753"/>
      <c r="AN24" s="151">
        <f>[1]Субсидия_факт!JJ26</f>
        <v>0</v>
      </c>
      <c r="AO24" s="753"/>
      <c r="AP24" s="151">
        <f>[1]Субсидия_факт!JP26</f>
        <v>0</v>
      </c>
      <c r="AQ24" s="753"/>
      <c r="AR24" s="1073"/>
      <c r="AS24" s="1074"/>
      <c r="AT24" s="1073">
        <f>[1]Субсидия_факт!JV26</f>
        <v>0</v>
      </c>
      <c r="AU24" s="1074"/>
      <c r="AV24" s="1073"/>
      <c r="AW24" s="1074"/>
      <c r="AX24" s="151">
        <f>[1]Субсидия_факт!JX26</f>
        <v>2500000</v>
      </c>
      <c r="AY24" s="753"/>
      <c r="AZ24" s="151">
        <f>[1]Субсидия_факт!KD26</f>
        <v>0</v>
      </c>
      <c r="BA24" s="753"/>
      <c r="BB24" s="151">
        <f>[1]Субсидия_факт!KV26</f>
        <v>304980.24</v>
      </c>
      <c r="BC24" s="948">
        <f t="shared" si="6"/>
        <v>304980.24</v>
      </c>
      <c r="BD24" s="417">
        <f>[1]Субсидия_факт!LB26</f>
        <v>0</v>
      </c>
      <c r="BE24" s="753"/>
    </row>
    <row r="25" spans="1:57" s="427" customFormat="1" ht="21" customHeight="1" x14ac:dyDescent="0.3">
      <c r="A25" s="432" t="s">
        <v>96</v>
      </c>
      <c r="B25" s="148">
        <f t="shared" si="0"/>
        <v>59874971.969999991</v>
      </c>
      <c r="C25" s="148">
        <f t="shared" si="1"/>
        <v>6348473.6400000006</v>
      </c>
      <c r="D25" s="151">
        <f>[1]Субсидия_факт!AV27</f>
        <v>391588.54</v>
      </c>
      <c r="E25" s="753">
        <v>8223.36</v>
      </c>
      <c r="F25" s="151">
        <f>[1]Субсидия_факт!BB27</f>
        <v>0</v>
      </c>
      <c r="G25" s="753"/>
      <c r="H25" s="151">
        <f>[1]Субсидия_факт!BD27</f>
        <v>0</v>
      </c>
      <c r="I25" s="753"/>
      <c r="J25" s="151">
        <f>[1]Субсидия_факт!BF27</f>
        <v>69016.740000000005</v>
      </c>
      <c r="K25" s="948">
        <f t="shared" si="2"/>
        <v>69016.740000000005</v>
      </c>
      <c r="L25" s="151">
        <f>[1]Субсидия_факт!BH27</f>
        <v>2101373.9700000002</v>
      </c>
      <c r="M25" s="753">
        <v>630412.18999999994</v>
      </c>
      <c r="N25" s="151">
        <f>[1]Субсидия_факт!DH27</f>
        <v>190709.08</v>
      </c>
      <c r="O25" s="948">
        <f t="shared" si="7"/>
        <v>190709.08</v>
      </c>
      <c r="P25" s="151">
        <f>[1]Субсидия_факт!CV27</f>
        <v>6996.63</v>
      </c>
      <c r="Q25" s="948">
        <f t="shared" si="8"/>
        <v>6996.63</v>
      </c>
      <c r="R25" s="151">
        <f>[1]Субсидия_факт!ET27</f>
        <v>3045678.08</v>
      </c>
      <c r="S25" s="948">
        <f t="shared" si="3"/>
        <v>3045678.08</v>
      </c>
      <c r="T25" s="1073">
        <f>[1]Субсидия_факт!EZ27</f>
        <v>0</v>
      </c>
      <c r="U25" s="1074"/>
      <c r="V25" s="151">
        <f>[1]Субсидия_факт!FH27</f>
        <v>35009192</v>
      </c>
      <c r="W25" s="753">
        <v>1448821.31</v>
      </c>
      <c r="X25" s="151">
        <f>[1]Субсидия_факт!GH27</f>
        <v>91800.68</v>
      </c>
      <c r="Y25" s="753"/>
      <c r="Z25" s="151">
        <f>[1]Субсидия_факт!GR27</f>
        <v>0</v>
      </c>
      <c r="AA25" s="753"/>
      <c r="AB25" s="151">
        <f>[1]Субсидия_факт!HF27</f>
        <v>0</v>
      </c>
      <c r="AC25" s="753"/>
      <c r="AD25" s="151">
        <f>[1]Субсидия_факт!HZ27</f>
        <v>17000000</v>
      </c>
      <c r="AE25" s="753"/>
      <c r="AF25" s="151">
        <f>[1]Субсидия_факт!IF27</f>
        <v>0</v>
      </c>
      <c r="AG25" s="753"/>
      <c r="AH25" s="151">
        <f>[1]Субсидия_факт!IH27</f>
        <v>106286</v>
      </c>
      <c r="AI25" s="948">
        <f t="shared" si="4"/>
        <v>106286</v>
      </c>
      <c r="AJ25" s="151">
        <f>[1]Субсидия_факт!IJ27</f>
        <v>650649.74</v>
      </c>
      <c r="AK25" s="948">
        <f t="shared" si="5"/>
        <v>650649.74</v>
      </c>
      <c r="AL25" s="151">
        <f>[1]Субсидия_факт!IX27</f>
        <v>0</v>
      </c>
      <c r="AM25" s="753"/>
      <c r="AN25" s="151">
        <f>[1]Субсидия_факт!JJ27</f>
        <v>0</v>
      </c>
      <c r="AO25" s="753"/>
      <c r="AP25" s="151">
        <f>[1]Субсидия_факт!JP27</f>
        <v>0</v>
      </c>
      <c r="AQ25" s="753"/>
      <c r="AR25" s="1073"/>
      <c r="AS25" s="1074"/>
      <c r="AT25" s="1073">
        <f>[1]Субсидия_факт!JV27</f>
        <v>0</v>
      </c>
      <c r="AU25" s="1074"/>
      <c r="AV25" s="1073"/>
      <c r="AW25" s="1074"/>
      <c r="AX25" s="151">
        <f>[1]Субсидия_факт!JX27</f>
        <v>1020000</v>
      </c>
      <c r="AY25" s="753"/>
      <c r="AZ25" s="151">
        <f>[1]Субсидия_факт!KD27</f>
        <v>0</v>
      </c>
      <c r="BA25" s="753"/>
      <c r="BB25" s="151">
        <f>[1]Субсидия_факт!KV27</f>
        <v>191680.51</v>
      </c>
      <c r="BC25" s="948">
        <f t="shared" si="6"/>
        <v>191680.51</v>
      </c>
      <c r="BD25" s="417">
        <f>[1]Субсидия_факт!LB27</f>
        <v>0</v>
      </c>
      <c r="BE25" s="753"/>
    </row>
    <row r="26" spans="1:57" s="427" customFormat="1" ht="21" customHeight="1" x14ac:dyDescent="0.3">
      <c r="A26" s="431" t="s">
        <v>104</v>
      </c>
      <c r="B26" s="150">
        <f t="shared" ref="B26:C26" si="9">SUM(B8:B25)</f>
        <v>344747699.31999999</v>
      </c>
      <c r="C26" s="150">
        <f t="shared" si="9"/>
        <v>84435292.089999989</v>
      </c>
      <c r="D26" s="150">
        <f t="shared" ref="D26:P26" si="10">SUM(D8:D25)</f>
        <v>4384690.93</v>
      </c>
      <c r="E26" s="150">
        <f>SUM(E8:E25)</f>
        <v>464466.53</v>
      </c>
      <c r="F26" s="150">
        <f t="shared" ref="F26" si="11">SUM(F8:F25)</f>
        <v>305665</v>
      </c>
      <c r="G26" s="150">
        <f>SUM(G8:G25)</f>
        <v>0</v>
      </c>
      <c r="H26" s="150">
        <f t="shared" si="10"/>
        <v>0</v>
      </c>
      <c r="I26" s="150">
        <f t="shared" ref="I26:M26" si="12">SUM(I8:I25)</f>
        <v>0</v>
      </c>
      <c r="J26" s="150">
        <f>SUM(J8:J25)</f>
        <v>1442093.27</v>
      </c>
      <c r="K26" s="150">
        <f>SUM(K8:K25)</f>
        <v>1442093.27</v>
      </c>
      <c r="L26" s="150">
        <f t="shared" si="12"/>
        <v>28073153.170000002</v>
      </c>
      <c r="M26" s="150">
        <f t="shared" si="12"/>
        <v>1901992.99</v>
      </c>
      <c r="N26" s="150">
        <f t="shared" ref="N26:O26" si="13">SUM(N8:N25)</f>
        <v>2147871.8099999996</v>
      </c>
      <c r="O26" s="150">
        <f t="shared" si="13"/>
        <v>2147871.8099999996</v>
      </c>
      <c r="P26" s="150">
        <f t="shared" si="10"/>
        <v>179474.2</v>
      </c>
      <c r="Q26" s="150">
        <f t="shared" ref="Q26:BC26" si="14">SUM(Q8:Q25)</f>
        <v>179474.2</v>
      </c>
      <c r="R26" s="150">
        <f>SUM(R8:R25)</f>
        <v>16700000.000000002</v>
      </c>
      <c r="S26" s="150">
        <f>SUM(S8:S25)</f>
        <v>16700000.000000002</v>
      </c>
      <c r="T26" s="1075">
        <f t="shared" ref="T26:U26" si="15">SUM(T8:T25)</f>
        <v>0</v>
      </c>
      <c r="U26" s="1075">
        <f t="shared" si="15"/>
        <v>0</v>
      </c>
      <c r="V26" s="150">
        <f t="shared" si="14"/>
        <v>199073858.19999999</v>
      </c>
      <c r="W26" s="150">
        <f t="shared" si="14"/>
        <v>32387501.809999999</v>
      </c>
      <c r="X26" s="274">
        <f t="shared" si="14"/>
        <v>1114195.46</v>
      </c>
      <c r="Y26" s="150">
        <f t="shared" si="14"/>
        <v>148028.73000000001</v>
      </c>
      <c r="Z26" s="150">
        <f t="shared" si="14"/>
        <v>0</v>
      </c>
      <c r="AA26" s="150">
        <f t="shared" si="14"/>
        <v>0</v>
      </c>
      <c r="AB26" s="150">
        <f t="shared" ref="AB26:AC26" si="16">SUM(AB8:AB25)</f>
        <v>952380</v>
      </c>
      <c r="AC26" s="150">
        <f t="shared" si="16"/>
        <v>113035</v>
      </c>
      <c r="AD26" s="274">
        <f t="shared" si="14"/>
        <v>52880000</v>
      </c>
      <c r="AE26" s="150">
        <f t="shared" si="14"/>
        <v>2693310.4699999997</v>
      </c>
      <c r="AF26" s="274">
        <f t="shared" ref="AF26:AG26" si="17">SUM(AF8:AF25)</f>
        <v>0</v>
      </c>
      <c r="AG26" s="150">
        <f t="shared" si="17"/>
        <v>0</v>
      </c>
      <c r="AH26" s="150">
        <f t="shared" si="14"/>
        <v>4029800</v>
      </c>
      <c r="AI26" s="150">
        <f t="shared" si="14"/>
        <v>4029800</v>
      </c>
      <c r="AJ26" s="150">
        <f t="shared" si="14"/>
        <v>18000000.000000004</v>
      </c>
      <c r="AK26" s="150">
        <f t="shared" si="14"/>
        <v>18000000.000000004</v>
      </c>
      <c r="AL26" s="150">
        <f t="shared" ref="AL26" si="18">SUM(AL8:AL25)</f>
        <v>0</v>
      </c>
      <c r="AM26" s="150">
        <f t="shared" ref="AM26" si="19">SUM(AM8:AM25)</f>
        <v>0</v>
      </c>
      <c r="AN26" s="150">
        <f t="shared" si="14"/>
        <v>0</v>
      </c>
      <c r="AO26" s="150">
        <f t="shared" si="14"/>
        <v>0</v>
      </c>
      <c r="AP26" s="150">
        <f>SUM(AP8:AP25)</f>
        <v>0</v>
      </c>
      <c r="AQ26" s="150">
        <f>SUM(AQ8:AQ25)</f>
        <v>0</v>
      </c>
      <c r="AR26" s="1075">
        <f t="shared" ref="AR26:AS26" si="20">SUM(AR8:AR25)</f>
        <v>0</v>
      </c>
      <c r="AS26" s="1075">
        <f t="shared" si="20"/>
        <v>0</v>
      </c>
      <c r="AT26" s="1075">
        <f t="shared" ref="AT26:AU26" si="21">SUM(AT8:AT25)</f>
        <v>0</v>
      </c>
      <c r="AU26" s="1075">
        <f t="shared" si="21"/>
        <v>0</v>
      </c>
      <c r="AV26" s="1075">
        <f t="shared" ref="AV26:AW26" si="22">SUM(AV8:AV25)</f>
        <v>0</v>
      </c>
      <c r="AW26" s="1075">
        <f t="shared" si="22"/>
        <v>0</v>
      </c>
      <c r="AX26" s="150">
        <f t="shared" si="14"/>
        <v>11236800</v>
      </c>
      <c r="AY26" s="150">
        <f t="shared" si="14"/>
        <v>0</v>
      </c>
      <c r="AZ26" s="150">
        <f t="shared" ref="AZ26:BA26" si="23">SUM(AZ8:AZ25)</f>
        <v>0</v>
      </c>
      <c r="BA26" s="150">
        <f t="shared" si="23"/>
        <v>0</v>
      </c>
      <c r="BB26" s="150">
        <f t="shared" si="14"/>
        <v>4227717.2799999993</v>
      </c>
      <c r="BC26" s="150">
        <f t="shared" si="14"/>
        <v>4227717.2799999993</v>
      </c>
      <c r="BD26" s="274">
        <f>SUM(BD8:BD25)</f>
        <v>0</v>
      </c>
      <c r="BE26" s="150">
        <f>SUM(BE8:BE25)</f>
        <v>0</v>
      </c>
    </row>
    <row r="27" spans="1:57" s="427" customFormat="1" ht="21" customHeight="1" x14ac:dyDescent="0.3">
      <c r="A27" s="431"/>
      <c r="B27" s="149"/>
      <c r="C27" s="149"/>
      <c r="D27" s="149"/>
      <c r="E27" s="754"/>
      <c r="F27" s="149"/>
      <c r="G27" s="754"/>
      <c r="H27" s="754"/>
      <c r="I27" s="754"/>
      <c r="J27" s="754"/>
      <c r="K27" s="754"/>
      <c r="L27" s="754"/>
      <c r="M27" s="754"/>
      <c r="N27" s="754"/>
      <c r="O27" s="754"/>
      <c r="P27" s="149"/>
      <c r="Q27" s="754"/>
      <c r="R27" s="754"/>
      <c r="S27" s="754"/>
      <c r="T27" s="1363"/>
      <c r="U27" s="1076"/>
      <c r="V27" s="149"/>
      <c r="W27" s="754"/>
      <c r="X27" s="274"/>
      <c r="Y27" s="754"/>
      <c r="Z27" s="150"/>
      <c r="AA27" s="754"/>
      <c r="AB27" s="150"/>
      <c r="AC27" s="754"/>
      <c r="AD27" s="274"/>
      <c r="AE27" s="754"/>
      <c r="AF27" s="274"/>
      <c r="AG27" s="754"/>
      <c r="AH27" s="151"/>
      <c r="AI27" s="754"/>
      <c r="AJ27" s="149"/>
      <c r="AK27" s="754"/>
      <c r="AL27" s="754"/>
      <c r="AM27" s="754"/>
      <c r="AN27" s="149"/>
      <c r="AO27" s="754"/>
      <c r="AP27" s="149"/>
      <c r="AQ27" s="754"/>
      <c r="AR27" s="1073"/>
      <c r="AS27" s="1076"/>
      <c r="AT27" s="1073"/>
      <c r="AU27" s="1076"/>
      <c r="AV27" s="1073"/>
      <c r="AW27" s="1076"/>
      <c r="AX27" s="149"/>
      <c r="AY27" s="754"/>
      <c r="AZ27" s="149"/>
      <c r="BA27" s="754"/>
      <c r="BB27" s="149"/>
      <c r="BC27" s="754"/>
      <c r="BD27" s="274"/>
      <c r="BE27" s="754"/>
    </row>
    <row r="28" spans="1:57" s="427" customFormat="1" ht="21" customHeight="1" x14ac:dyDescent="0.3">
      <c r="A28" s="431" t="s">
        <v>5</v>
      </c>
      <c r="B28" s="148">
        <f>D28+H28+J28+P28+V28+Z28+AH28+AJ28+AN28+AX28+BB28+X28+AD28+AP28+R28+L28+AF28+AR28+AB28+AZ28+AT28+AL28+BD28+AV28+F28+N28+T28</f>
        <v>265064842.72</v>
      </c>
      <c r="C28" s="148">
        <f>E28+I28+K28+Q28+W28+AA28+AI28+AK28+AO28+AY28+BC28+Y28+AE28+AQ28+S28+M28+AG28+AS28+AC28+BA28+AU28+AM28+BE28+AW28+G28+O28+U28</f>
        <v>5468586.4100000001</v>
      </c>
      <c r="D28" s="151">
        <f>[1]Субсидия_факт!AV30</f>
        <v>435926.46</v>
      </c>
      <c r="E28" s="753">
        <v>0</v>
      </c>
      <c r="F28" s="151">
        <f>[1]Субсидия_факт!BB30</f>
        <v>0</v>
      </c>
      <c r="G28" s="753"/>
      <c r="H28" s="151">
        <f>[1]Субсидия_факт!BD30</f>
        <v>0</v>
      </c>
      <c r="I28" s="753"/>
      <c r="J28" s="151">
        <f>[1]Субсидия_факт!BF30</f>
        <v>178469.72</v>
      </c>
      <c r="K28" s="948">
        <f t="shared" ref="K28:K29" si="24">J28</f>
        <v>178469.72</v>
      </c>
      <c r="L28" s="151">
        <f>[1]Субсидия_факт!BH30</f>
        <v>2255460.92</v>
      </c>
      <c r="M28" s="753">
        <v>752409.21</v>
      </c>
      <c r="N28" s="151">
        <f>[1]Субсидия_факт!DH30</f>
        <v>254093.88</v>
      </c>
      <c r="O28" s="948">
        <f t="shared" ref="O28:O29" si="25">N28</f>
        <v>254093.88</v>
      </c>
      <c r="P28" s="151">
        <f>[1]Субсидия_факт!CV30</f>
        <v>28396.43</v>
      </c>
      <c r="Q28" s="948">
        <f t="shared" ref="Q28:Q29" si="26">P28</f>
        <v>28396.43</v>
      </c>
      <c r="R28" s="151">
        <f>[1]Субсидия_факт!ET30</f>
        <v>0</v>
      </c>
      <c r="S28" s="753"/>
      <c r="T28" s="1073">
        <f>[1]Субсидия_факт!EZ30</f>
        <v>0</v>
      </c>
      <c r="U28" s="1360"/>
      <c r="V28" s="151">
        <f>[1]Субсидия_факт!FH30</f>
        <v>80214000</v>
      </c>
      <c r="W28" s="753">
        <v>1989894.28</v>
      </c>
      <c r="X28" s="151">
        <f>[1]Субсидия_факт!GH30</f>
        <v>147696.68</v>
      </c>
      <c r="Y28" s="948">
        <f>X28</f>
        <v>147696.68</v>
      </c>
      <c r="Z28" s="151">
        <f>[1]Субсидия_факт!GR30</f>
        <v>0</v>
      </c>
      <c r="AA28" s="753"/>
      <c r="AB28" s="151">
        <f>[1]Субсидия_факт!HF30</f>
        <v>260585</v>
      </c>
      <c r="AC28" s="753"/>
      <c r="AD28" s="151">
        <f>[1]Субсидия_факт!HZ30</f>
        <v>154958280.5</v>
      </c>
      <c r="AE28" s="753"/>
      <c r="AF28" s="151">
        <f>[1]Субсидия_факт!IF30</f>
        <v>0</v>
      </c>
      <c r="AG28" s="753"/>
      <c r="AH28" s="151">
        <f>[1]Субсидия_факт!IH30</f>
        <v>0</v>
      </c>
      <c r="AI28" s="948"/>
      <c r="AJ28" s="151">
        <f>[1]Субсидия_факт!IJ30</f>
        <v>0</v>
      </c>
      <c r="AK28" s="948"/>
      <c r="AL28" s="151">
        <f>[1]Субсидия_факт!IX30</f>
        <v>23200002.899999999</v>
      </c>
      <c r="AM28" s="753">
        <v>50656.84</v>
      </c>
      <c r="AN28" s="151">
        <f>[1]Субсидия_факт!JJ30</f>
        <v>0</v>
      </c>
      <c r="AO28" s="753"/>
      <c r="AP28" s="151">
        <f>[1]Субсидия_факт!JP30</f>
        <v>0</v>
      </c>
      <c r="AQ28" s="753"/>
      <c r="AR28" s="1073"/>
      <c r="AS28" s="1074"/>
      <c r="AT28" s="1073">
        <f>[1]Субсидия_факт!JV30</f>
        <v>0</v>
      </c>
      <c r="AU28" s="1074"/>
      <c r="AV28" s="1073"/>
      <c r="AW28" s="1074"/>
      <c r="AX28" s="151">
        <f>[1]Субсидия_факт!JX30</f>
        <v>0</v>
      </c>
      <c r="AY28" s="753"/>
      <c r="AZ28" s="151">
        <f>[1]Субсидия_факт!KD30</f>
        <v>631125</v>
      </c>
      <c r="BA28" s="753"/>
      <c r="BB28" s="151">
        <f>[1]Субсидия_факт!KV30</f>
        <v>522706.23</v>
      </c>
      <c r="BC28" s="948">
        <f t="shared" ref="BC28:BC29" si="27">BB28</f>
        <v>522706.23</v>
      </c>
      <c r="BD28" s="417">
        <f>[1]Субсидия_факт!LB30</f>
        <v>1978099</v>
      </c>
      <c r="BE28" s="753">
        <v>1544263.14</v>
      </c>
    </row>
    <row r="29" spans="1:57" s="427" customFormat="1" ht="21" customHeight="1" x14ac:dyDescent="0.3">
      <c r="A29" s="431" t="s">
        <v>6</v>
      </c>
      <c r="B29" s="148">
        <f>D29+H29+J29+P29+V29+Z29+AH29+AJ29+AN29+AX29+BB29+X29+AD29+AP29+R29+L29+AF29+AR29+AB29+AZ29+AT29+AL29+BD29+AV29+F29+N29+T29</f>
        <v>166132263.97</v>
      </c>
      <c r="C29" s="148">
        <f>E29+I29+K29+Q29+W29+AA29+AI29+AK29+AO29+AY29+BC29+Y29+AE29+AQ29+S29+M29+AG29+AS29+AC29+BA29+AU29+AM29+BE29+AW29+G29+O29+U29</f>
        <v>34283232.889999993</v>
      </c>
      <c r="D29" s="151">
        <f>[1]Субсидия_факт!AV31</f>
        <v>579382.61</v>
      </c>
      <c r="E29" s="753">
        <v>131580.68</v>
      </c>
      <c r="F29" s="151">
        <f>[1]Субсидия_факт!BB31</f>
        <v>1794335</v>
      </c>
      <c r="G29" s="753">
        <v>445814.76</v>
      </c>
      <c r="H29" s="151">
        <f>[1]Субсидия_факт!BD31</f>
        <v>0</v>
      </c>
      <c r="I29" s="753"/>
      <c r="J29" s="151">
        <f>[1]Субсидия_факт!BF31</f>
        <v>879437.01</v>
      </c>
      <c r="K29" s="948">
        <f t="shared" si="24"/>
        <v>879437.01</v>
      </c>
      <c r="L29" s="151">
        <f>[1]Субсидия_факт!BH31</f>
        <v>2471385.91</v>
      </c>
      <c r="M29" s="753">
        <v>720000</v>
      </c>
      <c r="N29" s="151">
        <f>[1]Субсидия_факт!DH31</f>
        <v>527516.48</v>
      </c>
      <c r="O29" s="948">
        <f t="shared" si="25"/>
        <v>527516.48</v>
      </c>
      <c r="P29" s="151">
        <f>[1]Субсидия_факт!CV31</f>
        <v>56898.83</v>
      </c>
      <c r="Q29" s="948">
        <f t="shared" si="26"/>
        <v>56898.83</v>
      </c>
      <c r="R29" s="151">
        <f>[1]Субсидия_факт!ET31</f>
        <v>0</v>
      </c>
      <c r="S29" s="753"/>
      <c r="T29" s="1073">
        <f>[1]Субсидия_факт!EZ31</f>
        <v>0</v>
      </c>
      <c r="U29" s="1074"/>
      <c r="V29" s="151">
        <f>[1]Субсидия_факт!FH31</f>
        <v>48753742</v>
      </c>
      <c r="W29" s="753">
        <v>6296910.1900000004</v>
      </c>
      <c r="X29" s="151">
        <f>[1]Субсидия_факт!GH31</f>
        <v>738107.86</v>
      </c>
      <c r="Y29" s="948">
        <f>X29</f>
        <v>738107.86</v>
      </c>
      <c r="Z29" s="151">
        <f>[1]Субсидия_факт!GR31</f>
        <v>0</v>
      </c>
      <c r="AA29" s="753"/>
      <c r="AB29" s="151">
        <f>[1]Субсидия_факт!HF31</f>
        <v>0</v>
      </c>
      <c r="AC29" s="753"/>
      <c r="AD29" s="151">
        <f>[1]Субсидия_факт!HZ31</f>
        <v>25000000</v>
      </c>
      <c r="AE29" s="753">
        <v>3110326.15</v>
      </c>
      <c r="AF29" s="151">
        <f>[1]Субсидия_факт!IF31</f>
        <v>14000000</v>
      </c>
      <c r="AG29" s="753"/>
      <c r="AH29" s="151">
        <f>[1]Субсидия_факт!IH31</f>
        <v>0</v>
      </c>
      <c r="AI29" s="948"/>
      <c r="AJ29" s="151">
        <f>[1]Субсидия_факт!IJ31</f>
        <v>0</v>
      </c>
      <c r="AK29" s="948"/>
      <c r="AL29" s="151">
        <f>[1]Субсидия_факт!IX31</f>
        <v>0</v>
      </c>
      <c r="AM29" s="753"/>
      <c r="AN29" s="151">
        <f>[1]Субсидия_факт!JJ31</f>
        <v>28449817.34</v>
      </c>
      <c r="AO29" s="753"/>
      <c r="AP29" s="151">
        <f>[1]Субсидия_факт!JP31</f>
        <v>0</v>
      </c>
      <c r="AQ29" s="753"/>
      <c r="AR29" s="1073"/>
      <c r="AS29" s="1074"/>
      <c r="AT29" s="1073">
        <f>[1]Субсидия_факт!JV31</f>
        <v>0</v>
      </c>
      <c r="AU29" s="1074"/>
      <c r="AV29" s="1073"/>
      <c r="AW29" s="1074"/>
      <c r="AX29" s="151">
        <f>[1]Субсидия_факт!JX31</f>
        <v>17745000</v>
      </c>
      <c r="AY29" s="753"/>
      <c r="AZ29" s="151">
        <f>[1]Субсидия_факт!KD31</f>
        <v>3760000</v>
      </c>
      <c r="BA29" s="753"/>
      <c r="BB29" s="151">
        <f>[1]Субсидия_факт!KV31</f>
        <v>1376640.93</v>
      </c>
      <c r="BC29" s="948">
        <f t="shared" si="27"/>
        <v>1376640.93</v>
      </c>
      <c r="BD29" s="417">
        <f>[1]Субсидия_факт!LB31</f>
        <v>20000000</v>
      </c>
      <c r="BE29" s="948">
        <f>BD29</f>
        <v>20000000</v>
      </c>
    </row>
    <row r="30" spans="1:57" s="427" customFormat="1" ht="21" customHeight="1" x14ac:dyDescent="0.3">
      <c r="A30" s="431" t="s">
        <v>7</v>
      </c>
      <c r="B30" s="154">
        <f t="shared" ref="B30:P30" si="28">SUM(B28:B29)</f>
        <v>431197106.69</v>
      </c>
      <c r="C30" s="154">
        <f t="shared" si="28"/>
        <v>39751819.299999997</v>
      </c>
      <c r="D30" s="154">
        <f t="shared" si="28"/>
        <v>1015309.0700000001</v>
      </c>
      <c r="E30" s="154">
        <f>SUM(E28:E29)</f>
        <v>131580.68</v>
      </c>
      <c r="F30" s="154">
        <f t="shared" ref="F30" si="29">SUM(F28:F29)</f>
        <v>1794335</v>
      </c>
      <c r="G30" s="154">
        <f>SUM(G28:G29)</f>
        <v>445814.76</v>
      </c>
      <c r="H30" s="154">
        <f t="shared" si="28"/>
        <v>0</v>
      </c>
      <c r="I30" s="154">
        <f t="shared" ref="I30:M30" si="30">SUM(I28:I29)</f>
        <v>0</v>
      </c>
      <c r="J30" s="154">
        <f>SUM(J28:J29)</f>
        <v>1057906.73</v>
      </c>
      <c r="K30" s="154">
        <f>SUM(K28:K29)</f>
        <v>1057906.73</v>
      </c>
      <c r="L30" s="154">
        <f t="shared" si="30"/>
        <v>4726846.83</v>
      </c>
      <c r="M30" s="154">
        <f t="shared" si="30"/>
        <v>1472409.21</v>
      </c>
      <c r="N30" s="154">
        <f t="shared" ref="N30:O30" si="31">SUM(N28:N29)</f>
        <v>781610.36</v>
      </c>
      <c r="O30" s="154">
        <f t="shared" si="31"/>
        <v>781610.36</v>
      </c>
      <c r="P30" s="154">
        <f t="shared" si="28"/>
        <v>85295.260000000009</v>
      </c>
      <c r="Q30" s="154">
        <f t="shared" ref="Q30:BC30" si="32">SUM(Q28:Q29)</f>
        <v>85295.260000000009</v>
      </c>
      <c r="R30" s="154">
        <f>SUM(R28:R29)</f>
        <v>0</v>
      </c>
      <c r="S30" s="154">
        <f>SUM(S28:S29)</f>
        <v>0</v>
      </c>
      <c r="T30" s="1077">
        <f t="shared" ref="T30:U30" si="33">SUM(T28:T29)</f>
        <v>0</v>
      </c>
      <c r="U30" s="1077">
        <f t="shared" si="33"/>
        <v>0</v>
      </c>
      <c r="V30" s="154">
        <f t="shared" si="32"/>
        <v>128967742</v>
      </c>
      <c r="W30" s="154">
        <f t="shared" si="32"/>
        <v>8286804.4700000007</v>
      </c>
      <c r="X30" s="155">
        <f t="shared" si="32"/>
        <v>885804.54</v>
      </c>
      <c r="Y30" s="154">
        <f t="shared" si="32"/>
        <v>885804.54</v>
      </c>
      <c r="Z30" s="155">
        <f t="shared" si="32"/>
        <v>0</v>
      </c>
      <c r="AA30" s="154">
        <f t="shared" si="32"/>
        <v>0</v>
      </c>
      <c r="AB30" s="155">
        <f t="shared" ref="AB30:AC30" si="34">SUM(AB28:AB29)</f>
        <v>260585</v>
      </c>
      <c r="AC30" s="154">
        <f t="shared" si="34"/>
        <v>0</v>
      </c>
      <c r="AD30" s="155">
        <f t="shared" si="32"/>
        <v>179958280.5</v>
      </c>
      <c r="AE30" s="154">
        <f t="shared" si="32"/>
        <v>3110326.15</v>
      </c>
      <c r="AF30" s="155">
        <f t="shared" ref="AF30:AG30" si="35">SUM(AF28:AF29)</f>
        <v>14000000</v>
      </c>
      <c r="AG30" s="154">
        <f t="shared" si="35"/>
        <v>0</v>
      </c>
      <c r="AH30" s="154">
        <f t="shared" si="32"/>
        <v>0</v>
      </c>
      <c r="AI30" s="154">
        <f t="shared" si="32"/>
        <v>0</v>
      </c>
      <c r="AJ30" s="154">
        <f t="shared" si="32"/>
        <v>0</v>
      </c>
      <c r="AK30" s="154">
        <f t="shared" si="32"/>
        <v>0</v>
      </c>
      <c r="AL30" s="154">
        <f t="shared" ref="AL30:AM30" si="36">SUM(AL28:AL29)</f>
        <v>23200002.899999999</v>
      </c>
      <c r="AM30" s="154">
        <f t="shared" si="36"/>
        <v>50656.84</v>
      </c>
      <c r="AN30" s="154">
        <f t="shared" si="32"/>
        <v>28449817.34</v>
      </c>
      <c r="AO30" s="154">
        <f t="shared" si="32"/>
        <v>0</v>
      </c>
      <c r="AP30" s="154">
        <f t="shared" ref="AP30:AU30" si="37">SUM(AP28:AP29)</f>
        <v>0</v>
      </c>
      <c r="AQ30" s="154">
        <f t="shared" si="37"/>
        <v>0</v>
      </c>
      <c r="AR30" s="1077">
        <f t="shared" si="37"/>
        <v>0</v>
      </c>
      <c r="AS30" s="1077">
        <f t="shared" si="37"/>
        <v>0</v>
      </c>
      <c r="AT30" s="1077">
        <f t="shared" si="37"/>
        <v>0</v>
      </c>
      <c r="AU30" s="1077">
        <f t="shared" si="37"/>
        <v>0</v>
      </c>
      <c r="AV30" s="1077">
        <f t="shared" ref="AV30:AW30" si="38">SUM(AV28:AV29)</f>
        <v>0</v>
      </c>
      <c r="AW30" s="1077">
        <f t="shared" si="38"/>
        <v>0</v>
      </c>
      <c r="AX30" s="154">
        <f t="shared" si="32"/>
        <v>17745000</v>
      </c>
      <c r="AY30" s="154">
        <f t="shared" si="32"/>
        <v>0</v>
      </c>
      <c r="AZ30" s="154">
        <f t="shared" ref="AZ30:BA30" si="39">SUM(AZ28:AZ29)</f>
        <v>4391125</v>
      </c>
      <c r="BA30" s="154">
        <f t="shared" si="39"/>
        <v>0</v>
      </c>
      <c r="BB30" s="155">
        <f t="shared" si="32"/>
        <v>1899347.16</v>
      </c>
      <c r="BC30" s="155">
        <f t="shared" si="32"/>
        <v>1899347.16</v>
      </c>
      <c r="BD30" s="155">
        <f>SUM(BD28:BD29)</f>
        <v>21978099</v>
      </c>
      <c r="BE30" s="154">
        <f>SUM(BE28:BE29)</f>
        <v>21544263.140000001</v>
      </c>
    </row>
    <row r="31" spans="1:57" s="427" customFormat="1" ht="21" customHeight="1" x14ac:dyDescent="0.3">
      <c r="A31" s="431"/>
      <c r="B31" s="156"/>
      <c r="C31" s="156"/>
      <c r="D31" s="150"/>
      <c r="E31" s="150"/>
      <c r="F31" s="150"/>
      <c r="G31" s="150"/>
      <c r="H31" s="150"/>
      <c r="I31" s="150"/>
      <c r="J31" s="150"/>
      <c r="K31" s="150"/>
      <c r="L31" s="150"/>
      <c r="M31" s="150"/>
      <c r="N31" s="150"/>
      <c r="O31" s="150"/>
      <c r="P31" s="755"/>
      <c r="Q31" s="150"/>
      <c r="R31" s="150"/>
      <c r="S31" s="150"/>
      <c r="T31" s="1078"/>
      <c r="U31" s="1075"/>
      <c r="V31" s="755"/>
      <c r="W31" s="150"/>
      <c r="X31" s="150"/>
      <c r="Y31" s="150"/>
      <c r="Z31" s="150"/>
      <c r="AA31" s="150"/>
      <c r="AB31" s="150"/>
      <c r="AC31" s="150"/>
      <c r="AD31" s="150"/>
      <c r="AE31" s="150"/>
      <c r="AF31" s="150"/>
      <c r="AG31" s="150"/>
      <c r="AH31" s="150"/>
      <c r="AI31" s="150"/>
      <c r="AJ31" s="755"/>
      <c r="AK31" s="150"/>
      <c r="AL31" s="150"/>
      <c r="AM31" s="150"/>
      <c r="AN31" s="150"/>
      <c r="AO31" s="150"/>
      <c r="AP31" s="755"/>
      <c r="AQ31" s="150"/>
      <c r="AR31" s="1078"/>
      <c r="AS31" s="1075"/>
      <c r="AT31" s="1078"/>
      <c r="AU31" s="1075"/>
      <c r="AV31" s="1078"/>
      <c r="AW31" s="1075"/>
      <c r="AX31" s="150"/>
      <c r="AY31" s="150"/>
      <c r="AZ31" s="150"/>
      <c r="BA31" s="150"/>
      <c r="BB31" s="150"/>
      <c r="BC31" s="150"/>
      <c r="BD31" s="150"/>
      <c r="BE31" s="150"/>
    </row>
    <row r="32" spans="1:57" s="427" customFormat="1" ht="21" customHeight="1" x14ac:dyDescent="0.3">
      <c r="A32" s="431"/>
      <c r="B32" s="156"/>
      <c r="C32" s="156"/>
      <c r="D32" s="150"/>
      <c r="E32" s="150"/>
      <c r="F32" s="150"/>
      <c r="G32" s="150"/>
      <c r="H32" s="150"/>
      <c r="I32" s="150"/>
      <c r="J32" s="150"/>
      <c r="K32" s="150"/>
      <c r="L32" s="150"/>
      <c r="M32" s="150"/>
      <c r="N32" s="150"/>
      <c r="O32" s="150"/>
      <c r="P32" s="755"/>
      <c r="Q32" s="150"/>
      <c r="R32" s="150"/>
      <c r="S32" s="150"/>
      <c r="T32" s="1078"/>
      <c r="U32" s="1075"/>
      <c r="V32" s="755"/>
      <c r="W32" s="150"/>
      <c r="X32" s="150"/>
      <c r="Y32" s="150"/>
      <c r="Z32" s="150"/>
      <c r="AA32" s="150"/>
      <c r="AB32" s="150"/>
      <c r="AC32" s="150"/>
      <c r="AD32" s="150"/>
      <c r="AE32" s="150"/>
      <c r="AF32" s="150"/>
      <c r="AG32" s="150"/>
      <c r="AH32" s="150"/>
      <c r="AI32" s="150"/>
      <c r="AJ32" s="755"/>
      <c r="AK32" s="150"/>
      <c r="AL32" s="150"/>
      <c r="AM32" s="150"/>
      <c r="AN32" s="150"/>
      <c r="AO32" s="150"/>
      <c r="AP32" s="755"/>
      <c r="AQ32" s="150"/>
      <c r="AR32" s="1078"/>
      <c r="AS32" s="1075"/>
      <c r="AT32" s="1078"/>
      <c r="AU32" s="1075"/>
      <c r="AV32" s="1078"/>
      <c r="AW32" s="1075"/>
      <c r="AX32" s="150"/>
      <c r="AY32" s="150"/>
      <c r="AZ32" s="150"/>
      <c r="BA32" s="150"/>
      <c r="BB32" s="150"/>
      <c r="BC32" s="150"/>
      <c r="BD32" s="150"/>
      <c r="BE32" s="150"/>
    </row>
    <row r="33" spans="1:57" s="434" customFormat="1" ht="21" customHeight="1" x14ac:dyDescent="0.3">
      <c r="A33" s="433" t="s">
        <v>36</v>
      </c>
      <c r="B33" s="154">
        <f t="shared" ref="B33:AN33" si="40">B26+B30</f>
        <v>775944806.00999999</v>
      </c>
      <c r="C33" s="154">
        <f t="shared" si="40"/>
        <v>124187111.38999999</v>
      </c>
      <c r="D33" s="154">
        <f t="shared" si="40"/>
        <v>5400000</v>
      </c>
      <c r="E33" s="154">
        <f t="shared" si="40"/>
        <v>596047.21</v>
      </c>
      <c r="F33" s="154">
        <f t="shared" ref="F33:G33" si="41">F26+F30</f>
        <v>2100000</v>
      </c>
      <c r="G33" s="154">
        <f t="shared" si="41"/>
        <v>445814.76</v>
      </c>
      <c r="H33" s="154">
        <f t="shared" si="40"/>
        <v>0</v>
      </c>
      <c r="I33" s="154">
        <f t="shared" si="40"/>
        <v>0</v>
      </c>
      <c r="J33" s="154">
        <f>J26+J30</f>
        <v>2500000</v>
      </c>
      <c r="K33" s="154">
        <f>K26+K30</f>
        <v>2500000</v>
      </c>
      <c r="L33" s="154">
        <f t="shared" si="40"/>
        <v>32800000</v>
      </c>
      <c r="M33" s="154">
        <f t="shared" si="40"/>
        <v>3374402.2</v>
      </c>
      <c r="N33" s="154">
        <f t="shared" ref="N33:O33" si="42">N26+N30</f>
        <v>2929482.1699999995</v>
      </c>
      <c r="O33" s="154">
        <f t="shared" si="42"/>
        <v>2929482.1699999995</v>
      </c>
      <c r="P33" s="154">
        <f t="shared" si="40"/>
        <v>264769.46000000002</v>
      </c>
      <c r="Q33" s="154">
        <f t="shared" si="40"/>
        <v>264769.46000000002</v>
      </c>
      <c r="R33" s="154">
        <f t="shared" si="40"/>
        <v>16700000.000000002</v>
      </c>
      <c r="S33" s="154">
        <f t="shared" si="40"/>
        <v>16700000.000000002</v>
      </c>
      <c r="T33" s="1077">
        <f t="shared" si="40"/>
        <v>0</v>
      </c>
      <c r="U33" s="1077">
        <f t="shared" si="40"/>
        <v>0</v>
      </c>
      <c r="V33" s="154">
        <f t="shared" si="40"/>
        <v>328041600.19999999</v>
      </c>
      <c r="W33" s="154">
        <f t="shared" si="40"/>
        <v>40674306.280000001</v>
      </c>
      <c r="X33" s="155">
        <f t="shared" si="40"/>
        <v>2000000</v>
      </c>
      <c r="Y33" s="154">
        <f t="shared" si="40"/>
        <v>1033833.27</v>
      </c>
      <c r="Z33" s="155">
        <f t="shared" si="40"/>
        <v>0</v>
      </c>
      <c r="AA33" s="154">
        <f t="shared" si="40"/>
        <v>0</v>
      </c>
      <c r="AB33" s="155">
        <f t="shared" ref="AB33:AC33" si="43">AB26+AB30</f>
        <v>1212965</v>
      </c>
      <c r="AC33" s="154">
        <f t="shared" si="43"/>
        <v>113035</v>
      </c>
      <c r="AD33" s="155">
        <f t="shared" si="40"/>
        <v>232838280.5</v>
      </c>
      <c r="AE33" s="154">
        <f t="shared" si="40"/>
        <v>5803636.6199999992</v>
      </c>
      <c r="AF33" s="155">
        <f t="shared" ref="AF33:AG33" si="44">AF26+AF30</f>
        <v>14000000</v>
      </c>
      <c r="AG33" s="154">
        <f t="shared" si="44"/>
        <v>0</v>
      </c>
      <c r="AH33" s="154">
        <f t="shared" si="40"/>
        <v>4029800</v>
      </c>
      <c r="AI33" s="154">
        <f t="shared" si="40"/>
        <v>4029800</v>
      </c>
      <c r="AJ33" s="154">
        <f t="shared" si="40"/>
        <v>18000000.000000004</v>
      </c>
      <c r="AK33" s="154">
        <f t="shared" si="40"/>
        <v>18000000.000000004</v>
      </c>
      <c r="AL33" s="154">
        <f t="shared" ref="AL33:AM33" si="45">AL26+AL30</f>
        <v>23200002.899999999</v>
      </c>
      <c r="AM33" s="154">
        <f t="shared" si="45"/>
        <v>50656.84</v>
      </c>
      <c r="AN33" s="154">
        <f t="shared" si="40"/>
        <v>28449817.34</v>
      </c>
      <c r="AO33" s="154">
        <f t="shared" ref="AO33:BC33" si="46">AO26+AO30</f>
        <v>0</v>
      </c>
      <c r="AP33" s="154">
        <f t="shared" si="46"/>
        <v>0</v>
      </c>
      <c r="AQ33" s="154">
        <f t="shared" si="46"/>
        <v>0</v>
      </c>
      <c r="AR33" s="1077">
        <f t="shared" si="46"/>
        <v>0</v>
      </c>
      <c r="AS33" s="1077">
        <f t="shared" si="46"/>
        <v>0</v>
      </c>
      <c r="AT33" s="1077">
        <f t="shared" ref="AT33:AU33" si="47">AT26+AT30</f>
        <v>0</v>
      </c>
      <c r="AU33" s="1077">
        <f t="shared" si="47"/>
        <v>0</v>
      </c>
      <c r="AV33" s="1077">
        <f t="shared" ref="AV33:AW33" si="48">AV26+AV30</f>
        <v>0</v>
      </c>
      <c r="AW33" s="1077">
        <f t="shared" si="48"/>
        <v>0</v>
      </c>
      <c r="AX33" s="154">
        <f t="shared" si="46"/>
        <v>28981800</v>
      </c>
      <c r="AY33" s="154">
        <f t="shared" si="46"/>
        <v>0</v>
      </c>
      <c r="AZ33" s="154">
        <f t="shared" ref="AZ33:BA33" si="49">AZ26+AZ30</f>
        <v>4391125</v>
      </c>
      <c r="BA33" s="154">
        <f t="shared" si="49"/>
        <v>0</v>
      </c>
      <c r="BB33" s="155">
        <f t="shared" si="46"/>
        <v>6127064.4399999995</v>
      </c>
      <c r="BC33" s="155">
        <f t="shared" si="46"/>
        <v>6127064.4399999995</v>
      </c>
      <c r="BD33" s="155">
        <f>BD26+BD30</f>
        <v>21978099</v>
      </c>
      <c r="BE33" s="154">
        <f>BE26+BE30</f>
        <v>21544263.140000001</v>
      </c>
    </row>
    <row r="34" spans="1:57" s="435" customFormat="1" ht="15.6" x14ac:dyDescent="0.3">
      <c r="B34" s="421"/>
      <c r="C34" s="421"/>
      <c r="D34" s="421"/>
      <c r="E34" s="421"/>
      <c r="F34" s="421"/>
      <c r="G34" s="421"/>
      <c r="H34" s="421"/>
      <c r="I34" s="421"/>
      <c r="J34" s="421"/>
      <c r="K34" s="421"/>
      <c r="L34" s="421"/>
      <c r="M34" s="421"/>
      <c r="N34" s="421"/>
      <c r="O34" s="421"/>
      <c r="P34" s="756"/>
      <c r="Q34" s="756"/>
      <c r="R34" s="421"/>
      <c r="S34" s="421"/>
      <c r="T34" s="1364"/>
      <c r="U34" s="1364"/>
      <c r="V34" s="756"/>
      <c r="W34" s="756"/>
      <c r="X34" s="421"/>
      <c r="Y34" s="421"/>
      <c r="Z34" s="421"/>
      <c r="AA34" s="421"/>
      <c r="AB34" s="421"/>
      <c r="AC34" s="421"/>
      <c r="AD34" s="421"/>
      <c r="AE34" s="421"/>
      <c r="AF34" s="421"/>
      <c r="AG34" s="421"/>
      <c r="AH34" s="421"/>
      <c r="AI34" s="421"/>
      <c r="AJ34" s="756"/>
      <c r="AK34" s="756"/>
      <c r="AL34" s="421"/>
      <c r="AM34" s="421"/>
      <c r="AN34" s="421"/>
      <c r="AO34" s="421"/>
      <c r="AP34" s="756"/>
      <c r="AQ34" s="756"/>
      <c r="AR34" s="756"/>
      <c r="AS34" s="756"/>
      <c r="AT34" s="756"/>
      <c r="AU34" s="756"/>
      <c r="AV34" s="756"/>
      <c r="AW34" s="756"/>
      <c r="AX34" s="421"/>
      <c r="AY34" s="421"/>
      <c r="AZ34" s="421"/>
      <c r="BA34" s="421"/>
      <c r="BB34" s="421"/>
      <c r="BC34" s="421"/>
      <c r="BD34" s="421"/>
      <c r="BE34" s="421"/>
    </row>
    <row r="35" spans="1:57" s="427" customFormat="1" ht="15.6" x14ac:dyDescent="0.3">
      <c r="B35" s="422"/>
      <c r="C35" s="422"/>
      <c r="D35" s="422"/>
      <c r="E35" s="422"/>
      <c r="F35" s="422"/>
      <c r="G35" s="422"/>
      <c r="H35" s="422"/>
      <c r="I35" s="422"/>
      <c r="J35" s="422"/>
      <c r="K35" s="422"/>
      <c r="L35" s="422"/>
      <c r="M35" s="422"/>
      <c r="N35" s="422"/>
      <c r="O35" s="422"/>
      <c r="P35" s="757"/>
      <c r="Q35" s="757"/>
      <c r="R35" s="422"/>
      <c r="S35" s="422"/>
      <c r="T35" s="1365"/>
      <c r="U35" s="1365"/>
      <c r="V35" s="757"/>
      <c r="W35" s="757"/>
      <c r="X35" s="422"/>
      <c r="Y35" s="422"/>
      <c r="Z35" s="422"/>
      <c r="AA35" s="422"/>
      <c r="AB35" s="422"/>
      <c r="AC35" s="422"/>
      <c r="AD35" s="422"/>
      <c r="AE35" s="422"/>
      <c r="AF35" s="422"/>
      <c r="AG35" s="422"/>
      <c r="AH35" s="422"/>
      <c r="AI35" s="422"/>
      <c r="AJ35" s="757"/>
      <c r="AK35" s="757"/>
      <c r="AL35" s="422"/>
      <c r="AM35" s="422"/>
      <c r="AN35" s="422"/>
      <c r="AO35" s="422"/>
      <c r="AP35" s="757"/>
      <c r="AQ35" s="757"/>
      <c r="AR35" s="757"/>
      <c r="AS35" s="757"/>
      <c r="AT35" s="757"/>
      <c r="AU35" s="757"/>
      <c r="AV35" s="757"/>
      <c r="AW35" s="757"/>
      <c r="AX35" s="422"/>
      <c r="AY35" s="422"/>
      <c r="AZ35" s="422"/>
      <c r="BA35" s="422"/>
      <c r="BB35" s="422"/>
      <c r="BC35" s="422"/>
      <c r="BD35" s="422"/>
      <c r="BE35" s="422"/>
    </row>
    <row r="36" spans="1:57" s="427" customFormat="1" ht="31.2" x14ac:dyDescent="0.3">
      <c r="A36" s="436" t="s">
        <v>54</v>
      </c>
      <c r="B36" s="148">
        <f>D36+H36+J36+P36+V36+Z36+AH36+AJ36+AN36+AX36+BB36+X36+AD36+AP36+R36+L36+AF36+AR36+AB36+AZ36+AT36+AL36+BD36+AV36+F36+N36+T36</f>
        <v>208195421.26000002</v>
      </c>
      <c r="C36" s="148">
        <f>E36+I36+K36+Q36+W36+AA36+AI36+AK36+AO36+AY36+BC36+Y36+AE36+AQ36+S36+M36+AG36+AS36+AC36+BA36+AU36+AM36+BE36+AW36+G36+O36+U36</f>
        <v>60149626.359999999</v>
      </c>
      <c r="D36" s="423"/>
      <c r="E36" s="423"/>
      <c r="F36" s="423"/>
      <c r="G36" s="423"/>
      <c r="H36" s="423"/>
      <c r="I36" s="423"/>
      <c r="J36" s="423"/>
      <c r="K36" s="423"/>
      <c r="L36" s="423"/>
      <c r="M36" s="423"/>
      <c r="N36" s="423">
        <f>'Прочая  субсидия_БП'!H26</f>
        <v>70517.830000000016</v>
      </c>
      <c r="O36" s="423">
        <f>'Прочая  субсидия_БП'!I26</f>
        <v>70517.830000000016</v>
      </c>
      <c r="P36" s="423">
        <f>'Прочая  субсидия_БП'!N26</f>
        <v>35230.540000000008</v>
      </c>
      <c r="Q36" s="423">
        <f>'Прочая  субсидия_БП'!O26</f>
        <v>35230.540000000008</v>
      </c>
      <c r="R36" s="423"/>
      <c r="S36" s="423"/>
      <c r="T36" s="1366">
        <f>'Прочая  субсидия_БП'!T26</f>
        <v>4869020</v>
      </c>
      <c r="U36" s="1366">
        <f>'Прочая  субсидия_БП'!U26</f>
        <v>0</v>
      </c>
      <c r="V36" s="423">
        <f>'Прочая  субсидия_БП'!Z26</f>
        <v>38627734</v>
      </c>
      <c r="W36" s="423">
        <f>'Прочая  субсидия_БП'!AA26</f>
        <v>4612275.0200000005</v>
      </c>
      <c r="X36" s="423"/>
      <c r="Y36" s="423"/>
      <c r="Z36" s="423">
        <f>'Прочая  субсидия_БП'!AF26</f>
        <v>0</v>
      </c>
      <c r="AA36" s="423">
        <f>'Прочая  субсидия_БП'!AG26</f>
        <v>0</v>
      </c>
      <c r="AB36" s="423">
        <f>'Прочая  субсидия_БП'!AL26</f>
        <v>87035</v>
      </c>
      <c r="AC36" s="423">
        <f>'Прочая  субсидия_БП'!AM26</f>
        <v>0</v>
      </c>
      <c r="AD36" s="423">
        <f>'Прочая  субсидия_БП'!AR26</f>
        <v>94678298.019999996</v>
      </c>
      <c r="AE36" s="423">
        <f>'Прочая  субсидия_БП'!AS26</f>
        <v>724661.71</v>
      </c>
      <c r="AF36" s="423"/>
      <c r="AG36" s="423"/>
      <c r="AH36" s="423"/>
      <c r="AI36" s="423"/>
      <c r="AJ36" s="423"/>
      <c r="AK36" s="423"/>
      <c r="AL36" s="423">
        <f>'Прочая  субсидия_БП'!AX26</f>
        <v>2098391.65</v>
      </c>
      <c r="AM36" s="423">
        <f>'Прочая  субсидия_БП'!AY26</f>
        <v>2098391.65</v>
      </c>
      <c r="AN36" s="423">
        <f>'Прочая  субсидия_БП'!BD26</f>
        <v>1670982.6600000001</v>
      </c>
      <c r="AO36" s="423">
        <f>'Прочая  субсидия_БП'!BE26</f>
        <v>0</v>
      </c>
      <c r="AP36" s="423">
        <f>'Прочая  субсидия_БП'!BJ26</f>
        <v>0</v>
      </c>
      <c r="AQ36" s="423">
        <f>'Прочая  субсидия_БП'!BK26</f>
        <v>0</v>
      </c>
      <c r="AR36" s="423"/>
      <c r="AS36" s="423"/>
      <c r="AT36" s="423"/>
      <c r="AU36" s="423"/>
      <c r="AV36" s="423"/>
      <c r="AW36" s="423"/>
      <c r="AX36" s="423">
        <f>'Прочая  субсидия_БП'!BP26</f>
        <v>3600000</v>
      </c>
      <c r="AY36" s="423">
        <f>'Прочая  субсидия_БП'!BQ26</f>
        <v>0</v>
      </c>
      <c r="AZ36" s="423">
        <f>'Прочая  субсидия_БП'!BV26</f>
        <v>5199375</v>
      </c>
      <c r="BA36" s="423">
        <f>'Прочая  субсидия_БП'!BW26</f>
        <v>0</v>
      </c>
      <c r="BB36" s="423">
        <f>'Прочая  субсидия_БП'!CB26</f>
        <v>9236935.5600000005</v>
      </c>
      <c r="BC36" s="423">
        <f>'Прочая  субсидия_БП'!CC26</f>
        <v>9236935.5600000005</v>
      </c>
      <c r="BD36" s="423">
        <f>'Прочая  субсидия_БП'!CH26</f>
        <v>48021901</v>
      </c>
      <c r="BE36" s="423">
        <f>'Прочая  субсидия_БП'!CI26</f>
        <v>43371614.049999997</v>
      </c>
    </row>
    <row r="37" spans="1:57" s="427" customFormat="1" ht="15.6" x14ac:dyDescent="0.3">
      <c r="A37" s="436"/>
      <c r="B37" s="424"/>
      <c r="C37" s="424"/>
      <c r="D37" s="424"/>
      <c r="E37" s="424"/>
      <c r="F37" s="424"/>
      <c r="G37" s="424"/>
      <c r="H37" s="424"/>
      <c r="I37" s="424"/>
      <c r="J37" s="424"/>
      <c r="K37" s="424"/>
      <c r="L37" s="424"/>
      <c r="M37" s="424"/>
      <c r="N37" s="424"/>
      <c r="O37" s="424"/>
      <c r="P37" s="424"/>
      <c r="Q37" s="424"/>
      <c r="R37" s="424"/>
      <c r="S37" s="424"/>
      <c r="T37" s="1367"/>
      <c r="U37" s="1367"/>
      <c r="V37" s="424"/>
      <c r="W37" s="424"/>
      <c r="X37" s="424"/>
      <c r="Y37" s="424"/>
      <c r="Z37" s="424"/>
      <c r="AA37" s="424"/>
      <c r="AB37" s="424"/>
      <c r="AC37" s="424"/>
      <c r="AD37" s="424"/>
      <c r="AE37" s="424"/>
      <c r="AF37" s="424"/>
      <c r="AG37" s="424"/>
      <c r="AH37" s="424"/>
      <c r="AI37" s="424"/>
      <c r="AJ37" s="424"/>
      <c r="AK37" s="424"/>
      <c r="AL37" s="424"/>
      <c r="AM37" s="424"/>
      <c r="AN37" s="424"/>
      <c r="AO37" s="424"/>
      <c r="AP37" s="424"/>
      <c r="AQ37" s="424"/>
      <c r="AR37" s="424"/>
      <c r="AS37" s="424"/>
      <c r="AT37" s="424"/>
      <c r="AU37" s="424"/>
      <c r="AV37" s="424"/>
      <c r="AW37" s="424"/>
      <c r="AX37" s="424"/>
      <c r="AY37" s="424"/>
      <c r="AZ37" s="424"/>
      <c r="BA37" s="424"/>
      <c r="BB37" s="424"/>
      <c r="BC37" s="424"/>
      <c r="BD37" s="424"/>
      <c r="BE37" s="424"/>
    </row>
    <row r="38" spans="1:57" s="435" customFormat="1" ht="46.8" x14ac:dyDescent="0.3">
      <c r="A38" s="437" t="s">
        <v>55</v>
      </c>
      <c r="B38" s="155">
        <f t="shared" ref="B38:Q38" si="50">B33+B36</f>
        <v>984140227.26999998</v>
      </c>
      <c r="C38" s="155">
        <f t="shared" si="50"/>
        <v>184336737.75</v>
      </c>
      <c r="D38" s="155">
        <f t="shared" si="50"/>
        <v>5400000</v>
      </c>
      <c r="E38" s="155">
        <f t="shared" si="50"/>
        <v>596047.21</v>
      </c>
      <c r="F38" s="155">
        <f t="shared" ref="F38:G38" si="51">F33+F36</f>
        <v>2100000</v>
      </c>
      <c r="G38" s="155">
        <f t="shared" si="51"/>
        <v>445814.76</v>
      </c>
      <c r="H38" s="155">
        <f t="shared" si="50"/>
        <v>0</v>
      </c>
      <c r="I38" s="155">
        <f t="shared" si="50"/>
        <v>0</v>
      </c>
      <c r="J38" s="155">
        <f>J33+J36</f>
        <v>2500000</v>
      </c>
      <c r="K38" s="155">
        <f>K33+K36</f>
        <v>2500000</v>
      </c>
      <c r="L38" s="155">
        <f t="shared" ref="L38:M38" si="52">L33+L36</f>
        <v>32800000</v>
      </c>
      <c r="M38" s="155">
        <f t="shared" si="52"/>
        <v>3374402.2</v>
      </c>
      <c r="N38" s="155">
        <f t="shared" ref="N38:O38" si="53">N33+N36</f>
        <v>2999999.9999999995</v>
      </c>
      <c r="O38" s="155">
        <f t="shared" si="53"/>
        <v>2999999.9999999995</v>
      </c>
      <c r="P38" s="155">
        <f t="shared" si="50"/>
        <v>300000</v>
      </c>
      <c r="Q38" s="155">
        <f t="shared" si="50"/>
        <v>300000</v>
      </c>
      <c r="R38" s="155">
        <f>R33+R36</f>
        <v>16700000.000000002</v>
      </c>
      <c r="S38" s="155">
        <f>S33+S36</f>
        <v>16700000.000000002</v>
      </c>
      <c r="T38" s="1368">
        <f t="shared" ref="T38:U38" si="54">T33+T36</f>
        <v>4869020</v>
      </c>
      <c r="U38" s="1368">
        <f t="shared" si="54"/>
        <v>0</v>
      </c>
      <c r="V38" s="155">
        <f t="shared" ref="V38:AO38" si="55">V33+V36</f>
        <v>366669334.19999999</v>
      </c>
      <c r="W38" s="155">
        <f t="shared" si="55"/>
        <v>45286581.300000004</v>
      </c>
      <c r="X38" s="155">
        <f t="shared" ref="X38:AE38" si="56">X33+X36</f>
        <v>2000000</v>
      </c>
      <c r="Y38" s="155">
        <f t="shared" si="56"/>
        <v>1033833.27</v>
      </c>
      <c r="Z38" s="155">
        <f t="shared" si="56"/>
        <v>0</v>
      </c>
      <c r="AA38" s="155">
        <f t="shared" si="56"/>
        <v>0</v>
      </c>
      <c r="AB38" s="155">
        <f t="shared" ref="AB38:AC38" si="57">AB33+AB36</f>
        <v>1300000</v>
      </c>
      <c r="AC38" s="155">
        <f t="shared" si="57"/>
        <v>113035</v>
      </c>
      <c r="AD38" s="155">
        <f t="shared" si="56"/>
        <v>327516578.51999998</v>
      </c>
      <c r="AE38" s="155">
        <f t="shared" si="56"/>
        <v>6528298.3299999991</v>
      </c>
      <c r="AF38" s="155">
        <f t="shared" ref="AF38:AG38" si="58">AF33+AF36</f>
        <v>14000000</v>
      </c>
      <c r="AG38" s="155">
        <f t="shared" si="58"/>
        <v>0</v>
      </c>
      <c r="AH38" s="155">
        <f t="shared" si="55"/>
        <v>4029800</v>
      </c>
      <c r="AI38" s="155">
        <f t="shared" si="55"/>
        <v>4029800</v>
      </c>
      <c r="AJ38" s="155">
        <f t="shared" si="55"/>
        <v>18000000.000000004</v>
      </c>
      <c r="AK38" s="155">
        <f t="shared" si="55"/>
        <v>18000000.000000004</v>
      </c>
      <c r="AL38" s="155">
        <f t="shared" ref="AL38:AM38" si="59">AL33+AL36</f>
        <v>25298394.549999997</v>
      </c>
      <c r="AM38" s="155">
        <f t="shared" si="59"/>
        <v>2149048.4899999998</v>
      </c>
      <c r="AN38" s="155">
        <f t="shared" si="55"/>
        <v>30120800</v>
      </c>
      <c r="AO38" s="155">
        <f t="shared" si="55"/>
        <v>0</v>
      </c>
      <c r="AP38" s="155">
        <f t="shared" ref="AP38:BC38" si="60">AP33+AP36</f>
        <v>0</v>
      </c>
      <c r="AQ38" s="155">
        <f t="shared" si="60"/>
        <v>0</v>
      </c>
      <c r="AR38" s="155">
        <f t="shared" si="60"/>
        <v>0</v>
      </c>
      <c r="AS38" s="155">
        <f t="shared" si="60"/>
        <v>0</v>
      </c>
      <c r="AT38" s="155">
        <f t="shared" ref="AT38:AU38" si="61">AT33+AT36</f>
        <v>0</v>
      </c>
      <c r="AU38" s="155">
        <f t="shared" si="61"/>
        <v>0</v>
      </c>
      <c r="AV38" s="155">
        <f t="shared" ref="AV38:AW38" si="62">AV33+AV36</f>
        <v>0</v>
      </c>
      <c r="AW38" s="155">
        <f t="shared" si="62"/>
        <v>0</v>
      </c>
      <c r="AX38" s="155">
        <f t="shared" si="60"/>
        <v>32581800</v>
      </c>
      <c r="AY38" s="155">
        <f t="shared" si="60"/>
        <v>0</v>
      </c>
      <c r="AZ38" s="155">
        <f t="shared" ref="AZ38:BA38" si="63">AZ33+AZ36</f>
        <v>9590500</v>
      </c>
      <c r="BA38" s="155">
        <f t="shared" si="63"/>
        <v>0</v>
      </c>
      <c r="BB38" s="155">
        <f t="shared" si="60"/>
        <v>15364000</v>
      </c>
      <c r="BC38" s="155">
        <f t="shared" si="60"/>
        <v>15364000</v>
      </c>
      <c r="BD38" s="155">
        <f>BD33+BD36</f>
        <v>70000000</v>
      </c>
      <c r="BE38" s="155">
        <f>BE33+BE36</f>
        <v>64915877.189999998</v>
      </c>
    </row>
    <row r="39" spans="1:57" s="427" customFormat="1" ht="16.8" x14ac:dyDescent="0.3">
      <c r="A39" s="438"/>
      <c r="B39" s="425"/>
      <c r="C39" s="425"/>
      <c r="D39" s="425"/>
      <c r="E39" s="1638">
        <v>596047.21</v>
      </c>
      <c r="F39" s="425"/>
      <c r="G39" s="1638">
        <v>445814.76</v>
      </c>
      <c r="H39" s="439"/>
      <c r="I39" s="752"/>
      <c r="J39" s="439"/>
      <c r="K39" s="1638">
        <v>2500000</v>
      </c>
      <c r="L39" s="439"/>
      <c r="M39" s="1638">
        <v>3374402.2</v>
      </c>
      <c r="N39" s="439"/>
      <c r="O39" s="1638">
        <v>3000000</v>
      </c>
      <c r="P39" s="425"/>
      <c r="Q39" s="1638">
        <v>300000</v>
      </c>
      <c r="R39" s="439"/>
      <c r="S39" s="1638">
        <v>16700000</v>
      </c>
      <c r="T39" s="425"/>
      <c r="U39" s="1638">
        <v>0</v>
      </c>
      <c r="V39" s="425"/>
      <c r="W39" s="425"/>
      <c r="X39" s="425"/>
      <c r="Y39" s="1637">
        <v>1033833.27</v>
      </c>
      <c r="Z39" s="425"/>
      <c r="AA39" s="752"/>
      <c r="AB39" s="425"/>
      <c r="AC39" s="1637">
        <v>113035</v>
      </c>
      <c r="AD39" s="425"/>
      <c r="AE39" s="1637">
        <v>6528298.3300000001</v>
      </c>
      <c r="AF39" s="425"/>
      <c r="AG39" s="1637">
        <v>0</v>
      </c>
      <c r="AH39" s="425"/>
      <c r="AI39" s="1637">
        <v>4029800</v>
      </c>
      <c r="AJ39" s="425"/>
      <c r="AK39" s="1637">
        <v>18000000</v>
      </c>
      <c r="AL39" s="425"/>
      <c r="AM39" s="1637">
        <v>2149048.4900000002</v>
      </c>
      <c r="AN39" s="425"/>
      <c r="AO39" s="1637">
        <v>0</v>
      </c>
      <c r="AP39" s="425"/>
      <c r="AQ39" s="1602">
        <v>0</v>
      </c>
      <c r="AR39" s="425"/>
      <c r="AS39" s="1079"/>
      <c r="AT39" s="425"/>
      <c r="AU39" s="1079"/>
      <c r="AV39" s="425"/>
      <c r="AW39" s="1079"/>
      <c r="AX39" s="425"/>
      <c r="AY39" s="1637">
        <v>0</v>
      </c>
      <c r="AZ39" s="425"/>
      <c r="BA39" s="1637">
        <v>0</v>
      </c>
      <c r="BB39" s="425"/>
      <c r="BC39" s="1637">
        <v>15364000</v>
      </c>
      <c r="BD39" s="425"/>
      <c r="BE39" s="1637">
        <v>64915877.189999998</v>
      </c>
    </row>
    <row r="40" spans="1:57" s="428" customFormat="1" ht="15.6" x14ac:dyDescent="0.3">
      <c r="E40" s="439">
        <f>E39-E38</f>
        <v>0</v>
      </c>
      <c r="G40" s="439">
        <f>G39-G38</f>
        <v>0</v>
      </c>
      <c r="H40" s="439"/>
      <c r="I40" s="439">
        <f>I39-I38</f>
        <v>0</v>
      </c>
      <c r="J40" s="439"/>
      <c r="K40" s="439">
        <f>K39-K38</f>
        <v>0</v>
      </c>
      <c r="L40" s="439"/>
      <c r="M40" s="439">
        <f>M39-M38</f>
        <v>0</v>
      </c>
      <c r="N40" s="439"/>
      <c r="O40" s="439">
        <f>O39-O38</f>
        <v>0</v>
      </c>
      <c r="Q40" s="439">
        <f>Q39-Q38</f>
        <v>0</v>
      </c>
      <c r="R40" s="439"/>
      <c r="S40" s="439">
        <f>S39-S38</f>
        <v>0</v>
      </c>
      <c r="U40" s="439">
        <f>U39-U38</f>
        <v>0</v>
      </c>
      <c r="Y40" s="439">
        <f>Y39-Y38</f>
        <v>0</v>
      </c>
      <c r="AA40" s="439">
        <f>AA39-AA38</f>
        <v>0</v>
      </c>
      <c r="AC40" s="439">
        <f>AC39-AC38</f>
        <v>0</v>
      </c>
      <c r="AE40" s="439">
        <f>AE39-AE38</f>
        <v>0</v>
      </c>
      <c r="AG40" s="439">
        <f>AG39-AG38</f>
        <v>0</v>
      </c>
      <c r="AI40" s="439">
        <f>AI39-AI38</f>
        <v>0</v>
      </c>
      <c r="AK40" s="439">
        <f>AK39-AK38</f>
        <v>0</v>
      </c>
      <c r="AM40" s="439">
        <f>AM39-AM38</f>
        <v>0</v>
      </c>
      <c r="AO40" s="439">
        <f>AO39-AO38</f>
        <v>0</v>
      </c>
      <c r="AQ40" s="439">
        <f>AQ39-AQ38</f>
        <v>0</v>
      </c>
      <c r="AS40" s="439">
        <f>AS39-AS38</f>
        <v>0</v>
      </c>
      <c r="AT40" s="439"/>
      <c r="AU40" s="439"/>
      <c r="AV40" s="439"/>
      <c r="AW40" s="439"/>
      <c r="AY40" s="439">
        <f>AY39-AY38</f>
        <v>0</v>
      </c>
      <c r="BA40" s="439">
        <f>BA39-BA38</f>
        <v>0</v>
      </c>
      <c r="BC40" s="439">
        <f>BC39-BC38</f>
        <v>0</v>
      </c>
      <c r="BE40" s="439">
        <f>BE39-BE38</f>
        <v>0</v>
      </c>
    </row>
    <row r="41" spans="1:57" s="428" customFormat="1" ht="15.6" x14ac:dyDescent="0.3">
      <c r="D41" s="421"/>
      <c r="E41" s="421"/>
      <c r="F41" s="421"/>
      <c r="G41" s="421"/>
      <c r="H41" s="421"/>
      <c r="I41" s="421"/>
      <c r="J41" s="421"/>
      <c r="K41" s="421"/>
      <c r="L41" s="421"/>
      <c r="M41" s="421"/>
      <c r="N41" s="421"/>
      <c r="O41" s="421"/>
      <c r="P41" s="421"/>
      <c r="Q41" s="421"/>
      <c r="R41" s="421"/>
      <c r="S41" s="421"/>
      <c r="T41" s="421"/>
      <c r="U41" s="421"/>
      <c r="V41" s="421"/>
      <c r="W41" s="421"/>
      <c r="X41" s="421"/>
      <c r="Y41" s="421"/>
      <c r="Z41" s="421"/>
      <c r="AA41" s="421"/>
      <c r="AB41" s="421"/>
      <c r="AC41" s="421"/>
      <c r="AD41" s="421"/>
      <c r="AE41" s="421"/>
      <c r="AF41" s="421"/>
      <c r="AG41" s="421"/>
      <c r="AH41" s="421"/>
      <c r="AI41" s="421"/>
      <c r="AJ41" s="421"/>
      <c r="AK41" s="421"/>
      <c r="AL41" s="421"/>
      <c r="AM41" s="421"/>
      <c r="AN41" s="421"/>
      <c r="AO41" s="421"/>
      <c r="AP41" s="421"/>
      <c r="AQ41" s="421"/>
      <c r="AR41" s="421"/>
      <c r="AS41" s="421"/>
      <c r="AT41" s="421"/>
      <c r="AU41" s="421"/>
      <c r="AV41" s="421"/>
      <c r="AW41" s="421"/>
      <c r="AX41" s="421"/>
      <c r="AY41" s="421"/>
      <c r="AZ41" s="421"/>
      <c r="BA41" s="421"/>
      <c r="BB41" s="421"/>
      <c r="BC41" s="421"/>
    </row>
    <row r="42" spans="1:57" s="427" customFormat="1" ht="15.6" x14ac:dyDescent="0.3">
      <c r="A42" s="431" t="s">
        <v>128</v>
      </c>
      <c r="B42" s="148">
        <f>SUM(B43:B45)</f>
        <v>27516784.189999998</v>
      </c>
      <c r="C42" s="148">
        <f>SUM(C43:C45)</f>
        <v>4367438.129999999</v>
      </c>
      <c r="J42" s="426"/>
      <c r="K42" s="426"/>
      <c r="L42" s="426"/>
      <c r="M42" s="426"/>
      <c r="N42" s="426"/>
      <c r="O42" s="426"/>
      <c r="R42" s="426"/>
      <c r="S42" s="426"/>
      <c r="T42" s="426"/>
      <c r="U42" s="426"/>
    </row>
    <row r="43" spans="1:57" s="427" customFormat="1" ht="15.6" x14ac:dyDescent="0.3">
      <c r="A43" s="440" t="s">
        <v>133</v>
      </c>
      <c r="B43" s="148">
        <f>D43+H43+J43+P43+V43+Z43+AH43+AJ43+AN43+AX43+BB43+X43+AD43+AP43+R43+L43+AF43+AR43+AB43+AZ43+AT43+AL43+BD43+AV43+F43+N43+T43</f>
        <v>2147871.8099999996</v>
      </c>
      <c r="C43" s="148">
        <f>E43+I43+K43+Q43+W43+AA43+AI43+AK43+AO43+AY43+BC43+Y43+AE43+AQ43+S43+M43+AG43+AS43+AC43+BA43+AU43+AM43+BE43+AW43+G43+O43+U43</f>
        <v>2147871.8099999996</v>
      </c>
      <c r="H43" s="426">
        <f>H26</f>
        <v>0</v>
      </c>
      <c r="I43" s="426">
        <f>I26</f>
        <v>0</v>
      </c>
      <c r="J43" s="426"/>
      <c r="K43" s="426"/>
      <c r="L43" s="426"/>
      <c r="M43" s="426"/>
      <c r="N43" s="426">
        <f>N26</f>
        <v>2147871.8099999996</v>
      </c>
      <c r="O43" s="426">
        <f>O26</f>
        <v>2147871.8099999996</v>
      </c>
      <c r="R43" s="426"/>
      <c r="S43" s="426"/>
      <c r="T43" s="426"/>
      <c r="U43" s="426"/>
      <c r="V43" s="426"/>
      <c r="W43" s="426"/>
      <c r="AL43" s="426">
        <f t="shared" ref="AL43:AM43" si="64">AL26</f>
        <v>0</v>
      </c>
      <c r="AM43" s="426">
        <f t="shared" si="64"/>
        <v>0</v>
      </c>
      <c r="AP43" s="426">
        <f t="shared" ref="AP43:AU43" si="65">AP26</f>
        <v>0</v>
      </c>
      <c r="AQ43" s="426">
        <f t="shared" si="65"/>
        <v>0</v>
      </c>
      <c r="AR43" s="426">
        <f t="shared" si="65"/>
        <v>0</v>
      </c>
      <c r="AS43" s="426">
        <f t="shared" si="65"/>
        <v>0</v>
      </c>
      <c r="AT43" s="426">
        <f t="shared" si="65"/>
        <v>0</v>
      </c>
      <c r="AU43" s="426">
        <f t="shared" si="65"/>
        <v>0</v>
      </c>
      <c r="AV43" s="426"/>
      <c r="AW43" s="426"/>
    </row>
    <row r="44" spans="1:57" s="427" customFormat="1" ht="15.6" x14ac:dyDescent="0.3">
      <c r="A44" s="440" t="s">
        <v>134</v>
      </c>
      <c r="B44" s="148">
        <f>D44+H44+J44+P44+V44+Z44+AH44+AJ44+AN44+AX44+BB44+X44+AD44+AP44+R44+L44+AF44+AR44+AB44+AZ44+AT44+AL44+BD44+AV44+F44+N44+T44</f>
        <v>23200002.899999999</v>
      </c>
      <c r="C44" s="148">
        <f>E44+I44+K44+Q44+W44+AA44+AI44+AK44+AO44+AY44+BC44+Y44+AE44+AQ44+S44+M44+AG44+AS44+AC44+BA44+AU44+AM44+BE44+AW44+G44+O44+U44</f>
        <v>50656.84</v>
      </c>
      <c r="H44" s="426">
        <f>H30</f>
        <v>0</v>
      </c>
      <c r="I44" s="426">
        <f>I30</f>
        <v>0</v>
      </c>
      <c r="J44" s="426"/>
      <c r="K44" s="426"/>
      <c r="L44" s="426"/>
      <c r="M44" s="426"/>
      <c r="N44" s="426">
        <f>N27</f>
        <v>0</v>
      </c>
      <c r="O44" s="426">
        <f>O27</f>
        <v>0</v>
      </c>
      <c r="R44" s="426"/>
      <c r="S44" s="426"/>
      <c r="T44" s="426"/>
      <c r="U44" s="426"/>
      <c r="V44" s="426"/>
      <c r="W44" s="426"/>
      <c r="AL44" s="426">
        <f t="shared" ref="AL44:AM44" si="66">AL30</f>
        <v>23200002.899999999</v>
      </c>
      <c r="AM44" s="426">
        <f t="shared" si="66"/>
        <v>50656.84</v>
      </c>
      <c r="AP44" s="426">
        <f t="shared" ref="AP44:AU44" si="67">AP30</f>
        <v>0</v>
      </c>
      <c r="AQ44" s="426">
        <f t="shared" si="67"/>
        <v>0</v>
      </c>
      <c r="AR44" s="426">
        <f t="shared" si="67"/>
        <v>0</v>
      </c>
      <c r="AS44" s="426">
        <f t="shared" si="67"/>
        <v>0</v>
      </c>
      <c r="AT44" s="426">
        <f t="shared" si="67"/>
        <v>0</v>
      </c>
      <c r="AU44" s="426">
        <f t="shared" si="67"/>
        <v>0</v>
      </c>
      <c r="AV44" s="426"/>
      <c r="AW44" s="426"/>
    </row>
    <row r="45" spans="1:57" s="427" customFormat="1" ht="15.6" x14ac:dyDescent="0.3">
      <c r="A45" s="440" t="s">
        <v>135</v>
      </c>
      <c r="B45" s="148">
        <f>'Прочая  субсидия_БП'!B29</f>
        <v>2168909.48</v>
      </c>
      <c r="C45" s="148">
        <f>'Прочая  субсидия_БП'!C29</f>
        <v>2168909.48</v>
      </c>
      <c r="J45" s="426"/>
      <c r="K45" s="426"/>
      <c r="L45" s="426"/>
      <c r="M45" s="426"/>
      <c r="N45" s="426"/>
      <c r="O45" s="426"/>
      <c r="R45" s="426"/>
      <c r="S45" s="426"/>
      <c r="T45" s="426"/>
      <c r="U45" s="426"/>
    </row>
    <row r="47" spans="1:57" x14ac:dyDescent="0.25">
      <c r="V47" s="428"/>
      <c r="W47" s="428"/>
    </row>
  </sheetData>
  <mergeCells count="56">
    <mergeCell ref="A5:A7"/>
    <mergeCell ref="P6:Q6"/>
    <mergeCell ref="H6:I6"/>
    <mergeCell ref="H5:I5"/>
    <mergeCell ref="D5:E5"/>
    <mergeCell ref="P5:Q5"/>
    <mergeCell ref="J5:K5"/>
    <mergeCell ref="D6:E6"/>
    <mergeCell ref="J6:K6"/>
    <mergeCell ref="B5:C6"/>
    <mergeCell ref="F5:G5"/>
    <mergeCell ref="F6:G6"/>
    <mergeCell ref="L5:M5"/>
    <mergeCell ref="L6:M6"/>
    <mergeCell ref="N5:O5"/>
    <mergeCell ref="N6:O6"/>
    <mergeCell ref="BD5:BE5"/>
    <mergeCell ref="BD6:BE6"/>
    <mergeCell ref="AV5:AW5"/>
    <mergeCell ref="AV6:AW6"/>
    <mergeCell ref="AT5:AU5"/>
    <mergeCell ref="AT6:AU6"/>
    <mergeCell ref="BB5:BC5"/>
    <mergeCell ref="BB6:BC6"/>
    <mergeCell ref="AZ6:BA6"/>
    <mergeCell ref="AX5:AY5"/>
    <mergeCell ref="AX6:AY6"/>
    <mergeCell ref="AZ5:BA5"/>
    <mergeCell ref="AN5:AO5"/>
    <mergeCell ref="AN6:AO6"/>
    <mergeCell ref="AJ6:AK6"/>
    <mergeCell ref="V6:W6"/>
    <mergeCell ref="AH5:AI5"/>
    <mergeCell ref="AJ5:AK5"/>
    <mergeCell ref="AH6:AI6"/>
    <mergeCell ref="Z6:AA6"/>
    <mergeCell ref="AL5:AM5"/>
    <mergeCell ref="AL6:AM6"/>
    <mergeCell ref="V5:W5"/>
    <mergeCell ref="X5:Y5"/>
    <mergeCell ref="R6:S6"/>
    <mergeCell ref="R5:S5"/>
    <mergeCell ref="AR5:AS5"/>
    <mergeCell ref="AR6:AS6"/>
    <mergeCell ref="AF6:AG6"/>
    <mergeCell ref="AB5:AC5"/>
    <mergeCell ref="AB6:AC6"/>
    <mergeCell ref="AD6:AE6"/>
    <mergeCell ref="AD5:AE5"/>
    <mergeCell ref="AP5:AQ5"/>
    <mergeCell ref="AP6:AQ6"/>
    <mergeCell ref="X6:Y6"/>
    <mergeCell ref="AF5:AG5"/>
    <mergeCell ref="T5:U5"/>
    <mergeCell ref="T6:U6"/>
    <mergeCell ref="Z5:AA5"/>
  </mergeCells>
  <phoneticPr fontId="0" type="noConversion"/>
  <pageMargins left="0.78740157480314965" right="0.39370078740157483" top="0.78740157480314965" bottom="0.59055118110236227" header="0.51181102362204722" footer="0.51181102362204722"/>
  <pageSetup paperSize="9" scale="42" fitToWidth="20" orientation="landscape" r:id="rId1"/>
  <headerFooter alignWithMargins="0">
    <oddFooter>&amp;L&amp;P&amp;R&amp;Z&amp;F&amp;A</oddFooter>
  </headerFooter>
  <colBreaks count="4" manualBreakCount="4">
    <brk id="13" max="37" man="1"/>
    <brk id="25" max="37" man="1"/>
    <brk id="37" max="37" man="1"/>
    <brk id="49" max="3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2"/>
  <dimension ref="A2:CM45"/>
  <sheetViews>
    <sheetView topLeftCell="A2" zoomScale="66" zoomScaleNormal="66" workbookViewId="0">
      <pane xSplit="1" ySplit="6" topLeftCell="AO8" activePane="bottomRight" state="frozen"/>
      <selection activeCell="A2" sqref="A2"/>
      <selection pane="topRight" activeCell="B2" sqref="B2"/>
      <selection pane="bottomLeft" activeCell="A8" sqref="A8"/>
      <selection pane="bottomRight" activeCell="O3" sqref="O3"/>
    </sheetView>
  </sheetViews>
  <sheetFormatPr defaultRowHeight="15" x14ac:dyDescent="0.25"/>
  <cols>
    <col min="1" max="1" width="22.109375" customWidth="1"/>
    <col min="2" max="2" width="21.5546875" customWidth="1"/>
    <col min="3" max="3" width="23.109375" customWidth="1"/>
    <col min="4" max="4" width="22.88671875" customWidth="1"/>
    <col min="5" max="5" width="22" customWidth="1"/>
    <col min="6" max="6" width="20.88671875" customWidth="1"/>
    <col min="7" max="13" width="19.88671875" customWidth="1"/>
    <col min="14" max="15" width="20.33203125" customWidth="1"/>
    <col min="16" max="19" width="17.88671875" customWidth="1"/>
    <col min="20" max="21" width="23.33203125" customWidth="1"/>
    <col min="22" max="25" width="17.88671875" customWidth="1"/>
    <col min="26" max="27" width="21.109375" customWidth="1"/>
    <col min="28" max="28" width="20.5546875" customWidth="1"/>
    <col min="29" max="29" width="21.109375" customWidth="1"/>
    <col min="30" max="31" width="17.5546875" customWidth="1"/>
    <col min="32" max="33" width="22.109375" customWidth="1"/>
    <col min="34" max="43" width="18.44140625" customWidth="1"/>
    <col min="44" max="44" width="21.6640625" customWidth="1"/>
    <col min="45" max="45" width="20" customWidth="1"/>
    <col min="46" max="46" width="19.44140625" customWidth="1"/>
    <col min="47" max="48" width="20.5546875" customWidth="1"/>
    <col min="49" max="55" width="20.33203125" customWidth="1"/>
    <col min="56" max="57" width="21.109375" customWidth="1"/>
    <col min="58" max="67" width="19.44140625" customWidth="1"/>
    <col min="68" max="69" width="27.109375" style="420" customWidth="1"/>
    <col min="70" max="79" width="21.44140625" style="420" customWidth="1"/>
    <col min="80" max="80" width="20.88671875" customWidth="1"/>
    <col min="81" max="81" width="19" customWidth="1"/>
    <col min="82" max="82" width="18.109375" bestFit="1" customWidth="1"/>
    <col min="83" max="83" width="18.6640625" customWidth="1"/>
    <col min="84" max="85" width="17.5546875" customWidth="1"/>
    <col min="86" max="87" width="20.44140625" customWidth="1"/>
    <col min="88" max="91" width="23.109375" customWidth="1"/>
  </cols>
  <sheetData>
    <row r="2" spans="1:91" ht="17.399999999999999" x14ac:dyDescent="0.3">
      <c r="D2" s="261" t="s">
        <v>23</v>
      </c>
      <c r="G2" s="1024" t="str">
        <f>'Район  и  поселения'!E3</f>
        <v>ПО  СОСТОЯНИЮ  НА  1  ИЮЛЯ  2020  ГОДА</v>
      </c>
      <c r="H2" s="1024"/>
      <c r="I2" s="1024"/>
      <c r="J2" s="1024"/>
      <c r="K2" s="1024"/>
      <c r="L2" s="1024"/>
      <c r="M2" s="1024"/>
      <c r="Z2" s="142"/>
      <c r="AA2" s="142"/>
      <c r="AB2" s="142"/>
      <c r="AC2" s="142"/>
      <c r="AD2" s="142"/>
      <c r="AE2" s="142"/>
      <c r="BD2" s="142"/>
      <c r="BE2" s="142"/>
      <c r="BF2" s="142"/>
      <c r="BG2" s="142"/>
      <c r="BH2" s="142"/>
      <c r="BI2" s="142"/>
      <c r="BJ2" s="142"/>
      <c r="BK2" s="142"/>
      <c r="BL2" s="142"/>
      <c r="BM2" s="142"/>
      <c r="BN2" s="142"/>
      <c r="BO2" s="142"/>
    </row>
    <row r="3" spans="1:91" ht="15.6" x14ac:dyDescent="0.3">
      <c r="B3" s="142"/>
      <c r="C3" s="142"/>
      <c r="D3" s="142"/>
      <c r="E3" s="142"/>
      <c r="F3" s="142"/>
      <c r="G3" s="142"/>
      <c r="H3" s="142"/>
      <c r="I3" s="142"/>
      <c r="J3" s="142"/>
      <c r="K3" s="142"/>
      <c r="L3" s="142"/>
      <c r="M3" s="142"/>
      <c r="Z3" s="142"/>
      <c r="AA3" s="142"/>
      <c r="AB3" s="142"/>
      <c r="AC3" s="142"/>
      <c r="AD3" s="142"/>
      <c r="AE3" s="142"/>
      <c r="BD3" s="142"/>
      <c r="BE3" s="142"/>
      <c r="BF3" s="142"/>
      <c r="BG3" s="142"/>
      <c r="BH3" s="142"/>
      <c r="BI3" s="142"/>
      <c r="BJ3" s="142"/>
      <c r="BK3" s="142"/>
      <c r="BL3" s="142"/>
      <c r="BM3" s="142"/>
      <c r="BN3" s="142"/>
      <c r="BO3" s="142"/>
    </row>
    <row r="4" spans="1:91" x14ac:dyDescent="0.25">
      <c r="J4" s="5" t="s">
        <v>0</v>
      </c>
    </row>
    <row r="5" spans="1:91" s="143" customFormat="1" ht="258" customHeight="1" x14ac:dyDescent="0.25">
      <c r="A5" s="1795" t="s">
        <v>12</v>
      </c>
      <c r="B5" s="1798" t="s">
        <v>1</v>
      </c>
      <c r="C5" s="1800"/>
      <c r="D5" s="1788" t="s">
        <v>118</v>
      </c>
      <c r="E5" s="1803"/>
      <c r="F5" s="1806" t="s">
        <v>117</v>
      </c>
      <c r="G5" s="1806"/>
      <c r="H5" s="1807" t="s">
        <v>619</v>
      </c>
      <c r="I5" s="1807"/>
      <c r="J5" s="1788" t="s">
        <v>118</v>
      </c>
      <c r="K5" s="1789"/>
      <c r="L5" s="1788" t="s">
        <v>117</v>
      </c>
      <c r="M5" s="1789"/>
      <c r="N5" s="1794" t="s">
        <v>423</v>
      </c>
      <c r="O5" s="1794"/>
      <c r="P5" s="1788" t="s">
        <v>118</v>
      </c>
      <c r="Q5" s="1789"/>
      <c r="R5" s="1788" t="s">
        <v>117</v>
      </c>
      <c r="S5" s="1789"/>
      <c r="T5" s="1787" t="s">
        <v>758</v>
      </c>
      <c r="U5" s="1787"/>
      <c r="V5" s="1788" t="s">
        <v>118</v>
      </c>
      <c r="W5" s="1789"/>
      <c r="X5" s="1788" t="s">
        <v>117</v>
      </c>
      <c r="Y5" s="1789"/>
      <c r="Z5" s="1792" t="s">
        <v>223</v>
      </c>
      <c r="AA5" s="1793"/>
      <c r="AB5" s="1788" t="s">
        <v>118</v>
      </c>
      <c r="AC5" s="1789"/>
      <c r="AD5" s="1788" t="s">
        <v>117</v>
      </c>
      <c r="AE5" s="1789"/>
      <c r="AF5" s="1795" t="s">
        <v>767</v>
      </c>
      <c r="AG5" s="1795"/>
      <c r="AH5" s="1788" t="s">
        <v>118</v>
      </c>
      <c r="AI5" s="1789"/>
      <c r="AJ5" s="1788" t="s">
        <v>117</v>
      </c>
      <c r="AK5" s="1789"/>
      <c r="AL5" s="1795" t="s">
        <v>582</v>
      </c>
      <c r="AM5" s="1795"/>
      <c r="AN5" s="1788" t="s">
        <v>118</v>
      </c>
      <c r="AO5" s="1789"/>
      <c r="AP5" s="1788" t="s">
        <v>117</v>
      </c>
      <c r="AQ5" s="1789"/>
      <c r="AR5" s="1795" t="s">
        <v>254</v>
      </c>
      <c r="AS5" s="1795"/>
      <c r="AT5" s="1788" t="s">
        <v>118</v>
      </c>
      <c r="AU5" s="1789"/>
      <c r="AV5" s="1788" t="s">
        <v>117</v>
      </c>
      <c r="AW5" s="1789"/>
      <c r="AX5" s="1796" t="s">
        <v>343</v>
      </c>
      <c r="AY5" s="1797"/>
      <c r="AZ5" s="1788" t="s">
        <v>118</v>
      </c>
      <c r="BA5" s="1789"/>
      <c r="BB5" s="1788" t="s">
        <v>117</v>
      </c>
      <c r="BC5" s="1789"/>
      <c r="BD5" s="1796" t="s">
        <v>341</v>
      </c>
      <c r="BE5" s="1797"/>
      <c r="BF5" s="1788" t="s">
        <v>118</v>
      </c>
      <c r="BG5" s="1789"/>
      <c r="BH5" s="1788" t="s">
        <v>117</v>
      </c>
      <c r="BI5" s="1789"/>
      <c r="BJ5" s="1796" t="s">
        <v>287</v>
      </c>
      <c r="BK5" s="1797"/>
      <c r="BL5" s="1788" t="s">
        <v>118</v>
      </c>
      <c r="BM5" s="1789"/>
      <c r="BN5" s="1788" t="s">
        <v>117</v>
      </c>
      <c r="BO5" s="1789"/>
      <c r="BP5" s="1796" t="s">
        <v>615</v>
      </c>
      <c r="BQ5" s="1797"/>
      <c r="BR5" s="1788" t="s">
        <v>118</v>
      </c>
      <c r="BS5" s="1789"/>
      <c r="BT5" s="1788" t="s">
        <v>117</v>
      </c>
      <c r="BU5" s="1789"/>
      <c r="BV5" s="1794" t="s">
        <v>616</v>
      </c>
      <c r="BW5" s="1798"/>
      <c r="BX5" s="1788" t="s">
        <v>118</v>
      </c>
      <c r="BY5" s="1789"/>
      <c r="BZ5" s="1788" t="s">
        <v>117</v>
      </c>
      <c r="CA5" s="1789"/>
      <c r="CB5" s="1794" t="s">
        <v>291</v>
      </c>
      <c r="CC5" s="1798"/>
      <c r="CD5" s="1788" t="s">
        <v>118</v>
      </c>
      <c r="CE5" s="1789"/>
      <c r="CF5" s="1788" t="s">
        <v>117</v>
      </c>
      <c r="CG5" s="1789"/>
      <c r="CH5" s="1794" t="s">
        <v>711</v>
      </c>
      <c r="CI5" s="1794"/>
      <c r="CJ5" s="1788" t="s">
        <v>118</v>
      </c>
      <c r="CK5" s="1789"/>
      <c r="CL5" s="1788" t="s">
        <v>117</v>
      </c>
      <c r="CM5" s="1789"/>
    </row>
    <row r="6" spans="1:91" s="267" customFormat="1" ht="18" customHeight="1" x14ac:dyDescent="0.25">
      <c r="A6" s="1795"/>
      <c r="B6" s="1801"/>
      <c r="C6" s="1802"/>
      <c r="D6" s="1804"/>
      <c r="E6" s="1805"/>
      <c r="F6" s="1806"/>
      <c r="G6" s="1806"/>
      <c r="H6" s="1790" t="s">
        <v>618</v>
      </c>
      <c r="I6" s="1791"/>
      <c r="J6" s="1791"/>
      <c r="K6" s="1791"/>
      <c r="L6" s="1791"/>
      <c r="M6" s="1791"/>
      <c r="N6" s="1790" t="s">
        <v>422</v>
      </c>
      <c r="O6" s="1791"/>
      <c r="P6" s="1791"/>
      <c r="Q6" s="1791"/>
      <c r="R6" s="1791"/>
      <c r="S6" s="1791"/>
      <c r="T6" s="1790" t="s">
        <v>759</v>
      </c>
      <c r="U6" s="1791"/>
      <c r="V6" s="1791"/>
      <c r="W6" s="1791"/>
      <c r="X6" s="1791"/>
      <c r="Y6" s="1791"/>
      <c r="Z6" s="1790" t="s">
        <v>205</v>
      </c>
      <c r="AA6" s="1790"/>
      <c r="AB6" s="1790"/>
      <c r="AC6" s="1790"/>
      <c r="AD6" s="1790"/>
      <c r="AE6" s="1790"/>
      <c r="AF6" s="1790" t="s">
        <v>766</v>
      </c>
      <c r="AG6" s="1791"/>
      <c r="AH6" s="1791"/>
      <c r="AI6" s="1791"/>
      <c r="AJ6" s="1791"/>
      <c r="AK6" s="1791"/>
      <c r="AL6" s="1790" t="s">
        <v>581</v>
      </c>
      <c r="AM6" s="1791"/>
      <c r="AN6" s="1791"/>
      <c r="AO6" s="1791"/>
      <c r="AP6" s="1791"/>
      <c r="AQ6" s="1791"/>
      <c r="AR6" s="1790" t="s">
        <v>204</v>
      </c>
      <c r="AS6" s="1791"/>
      <c r="AT6" s="1791"/>
      <c r="AU6" s="1791"/>
      <c r="AV6" s="1791"/>
      <c r="AW6" s="1791"/>
      <c r="AX6" s="1790" t="s">
        <v>342</v>
      </c>
      <c r="AY6" s="1791"/>
      <c r="AZ6" s="1791"/>
      <c r="BA6" s="1791"/>
      <c r="BB6" s="1791"/>
      <c r="BC6" s="1791"/>
      <c r="BD6" s="1791" t="s">
        <v>200</v>
      </c>
      <c r="BE6" s="1791"/>
      <c r="BF6" s="1791"/>
      <c r="BG6" s="1791"/>
      <c r="BH6" s="1791"/>
      <c r="BI6" s="1791"/>
      <c r="BJ6" s="1790" t="s">
        <v>286</v>
      </c>
      <c r="BK6" s="1791"/>
      <c r="BL6" s="1791"/>
      <c r="BM6" s="1791"/>
      <c r="BN6" s="1791"/>
      <c r="BO6" s="1791"/>
      <c r="BP6" s="1775" t="s">
        <v>218</v>
      </c>
      <c r="BQ6" s="1799"/>
      <c r="BR6" s="1799"/>
      <c r="BS6" s="1799"/>
      <c r="BT6" s="1799"/>
      <c r="BU6" s="1776"/>
      <c r="BV6" s="1790" t="s">
        <v>323</v>
      </c>
      <c r="BW6" s="1791"/>
      <c r="BX6" s="1791"/>
      <c r="BY6" s="1791"/>
      <c r="BZ6" s="1791"/>
      <c r="CA6" s="1791"/>
      <c r="CB6" s="1791" t="s">
        <v>290</v>
      </c>
      <c r="CC6" s="1791"/>
      <c r="CD6" s="1791"/>
      <c r="CE6" s="1791"/>
      <c r="CF6" s="1791"/>
      <c r="CG6" s="1791"/>
      <c r="CH6" s="1790" t="s">
        <v>414</v>
      </c>
      <c r="CI6" s="1791"/>
      <c r="CJ6" s="1791"/>
      <c r="CK6" s="1791"/>
      <c r="CL6" s="1791"/>
      <c r="CM6" s="1791"/>
    </row>
    <row r="7" spans="1:91" s="146" customFormat="1" ht="18" customHeight="1" x14ac:dyDescent="0.25">
      <c r="A7" s="144"/>
      <c r="B7" s="145" t="s">
        <v>156</v>
      </c>
      <c r="C7" s="145" t="s">
        <v>157</v>
      </c>
      <c r="D7" s="689" t="s">
        <v>156</v>
      </c>
      <c r="E7" s="689" t="s">
        <v>157</v>
      </c>
      <c r="F7" s="689" t="s">
        <v>156</v>
      </c>
      <c r="G7" s="689" t="s">
        <v>157</v>
      </c>
      <c r="H7" s="145" t="s">
        <v>156</v>
      </c>
      <c r="I7" s="145" t="s">
        <v>157</v>
      </c>
      <c r="J7" s="291" t="s">
        <v>156</v>
      </c>
      <c r="K7" s="291" t="s">
        <v>157</v>
      </c>
      <c r="L7" s="291" t="s">
        <v>156</v>
      </c>
      <c r="M7" s="291" t="s">
        <v>157</v>
      </c>
      <c r="N7" s="145" t="s">
        <v>156</v>
      </c>
      <c r="O7" s="145" t="s">
        <v>157</v>
      </c>
      <c r="P7" s="291" t="s">
        <v>156</v>
      </c>
      <c r="Q7" s="291" t="s">
        <v>157</v>
      </c>
      <c r="R7" s="291" t="s">
        <v>156</v>
      </c>
      <c r="S7" s="291" t="s">
        <v>157</v>
      </c>
      <c r="T7" s="145" t="s">
        <v>156</v>
      </c>
      <c r="U7" s="145" t="s">
        <v>157</v>
      </c>
      <c r="V7" s="291" t="s">
        <v>156</v>
      </c>
      <c r="W7" s="291" t="s">
        <v>157</v>
      </c>
      <c r="X7" s="291" t="s">
        <v>156</v>
      </c>
      <c r="Y7" s="291" t="s">
        <v>157</v>
      </c>
      <c r="Z7" s="145" t="s">
        <v>156</v>
      </c>
      <c r="AA7" s="145" t="s">
        <v>157</v>
      </c>
      <c r="AB7" s="291" t="s">
        <v>156</v>
      </c>
      <c r="AC7" s="291" t="s">
        <v>157</v>
      </c>
      <c r="AD7" s="291" t="s">
        <v>156</v>
      </c>
      <c r="AE7" s="291" t="s">
        <v>157</v>
      </c>
      <c r="AF7" s="145" t="s">
        <v>156</v>
      </c>
      <c r="AG7" s="145" t="s">
        <v>157</v>
      </c>
      <c r="AH7" s="291" t="s">
        <v>156</v>
      </c>
      <c r="AI7" s="291" t="s">
        <v>157</v>
      </c>
      <c r="AJ7" s="291" t="s">
        <v>156</v>
      </c>
      <c r="AK7" s="291" t="s">
        <v>157</v>
      </c>
      <c r="AL7" s="145" t="s">
        <v>156</v>
      </c>
      <c r="AM7" s="145" t="s">
        <v>157</v>
      </c>
      <c r="AN7" s="291" t="s">
        <v>156</v>
      </c>
      <c r="AO7" s="291" t="s">
        <v>157</v>
      </c>
      <c r="AP7" s="291" t="s">
        <v>156</v>
      </c>
      <c r="AQ7" s="291" t="s">
        <v>157</v>
      </c>
      <c r="AR7" s="145" t="s">
        <v>156</v>
      </c>
      <c r="AS7" s="145" t="s">
        <v>157</v>
      </c>
      <c r="AT7" s="291" t="s">
        <v>156</v>
      </c>
      <c r="AU7" s="291" t="s">
        <v>157</v>
      </c>
      <c r="AV7" s="291" t="s">
        <v>156</v>
      </c>
      <c r="AW7" s="291" t="s">
        <v>157</v>
      </c>
      <c r="AX7" s="145" t="s">
        <v>156</v>
      </c>
      <c r="AY7" s="145" t="s">
        <v>157</v>
      </c>
      <c r="AZ7" s="291" t="s">
        <v>156</v>
      </c>
      <c r="BA7" s="291" t="s">
        <v>157</v>
      </c>
      <c r="BB7" s="291" t="s">
        <v>156</v>
      </c>
      <c r="BC7" s="291" t="s">
        <v>157</v>
      </c>
      <c r="BD7" s="145" t="s">
        <v>156</v>
      </c>
      <c r="BE7" s="145" t="s">
        <v>157</v>
      </c>
      <c r="BF7" s="291" t="s">
        <v>156</v>
      </c>
      <c r="BG7" s="291" t="s">
        <v>157</v>
      </c>
      <c r="BH7" s="291" t="s">
        <v>156</v>
      </c>
      <c r="BI7" s="291" t="s">
        <v>157</v>
      </c>
      <c r="BJ7" s="145" t="s">
        <v>156</v>
      </c>
      <c r="BK7" s="145" t="s">
        <v>157</v>
      </c>
      <c r="BL7" s="291" t="s">
        <v>156</v>
      </c>
      <c r="BM7" s="291" t="s">
        <v>157</v>
      </c>
      <c r="BN7" s="291" t="s">
        <v>156</v>
      </c>
      <c r="BO7" s="291" t="s">
        <v>157</v>
      </c>
      <c r="BP7" s="1059" t="s">
        <v>156</v>
      </c>
      <c r="BQ7" s="1059" t="s">
        <v>157</v>
      </c>
      <c r="BR7" s="291" t="s">
        <v>156</v>
      </c>
      <c r="BS7" s="291" t="s">
        <v>157</v>
      </c>
      <c r="BT7" s="291" t="s">
        <v>156</v>
      </c>
      <c r="BU7" s="291" t="s">
        <v>157</v>
      </c>
      <c r="BV7" s="145" t="s">
        <v>156</v>
      </c>
      <c r="BW7" s="145" t="s">
        <v>157</v>
      </c>
      <c r="BX7" s="291" t="s">
        <v>156</v>
      </c>
      <c r="BY7" s="291" t="s">
        <v>157</v>
      </c>
      <c r="BZ7" s="291" t="s">
        <v>156</v>
      </c>
      <c r="CA7" s="291" t="s">
        <v>157</v>
      </c>
      <c r="CB7" s="145" t="s">
        <v>156</v>
      </c>
      <c r="CC7" s="145" t="s">
        <v>157</v>
      </c>
      <c r="CD7" s="291" t="s">
        <v>156</v>
      </c>
      <c r="CE7" s="291" t="s">
        <v>157</v>
      </c>
      <c r="CF7" s="291" t="s">
        <v>156</v>
      </c>
      <c r="CG7" s="291" t="s">
        <v>157</v>
      </c>
      <c r="CH7" s="145" t="s">
        <v>156</v>
      </c>
      <c r="CI7" s="145" t="s">
        <v>157</v>
      </c>
      <c r="CJ7" s="291" t="s">
        <v>156</v>
      </c>
      <c r="CK7" s="291" t="s">
        <v>157</v>
      </c>
      <c r="CL7" s="291" t="s">
        <v>156</v>
      </c>
      <c r="CM7" s="291" t="s">
        <v>157</v>
      </c>
    </row>
    <row r="8" spans="1:91" s="152" customFormat="1" ht="21" customHeight="1" x14ac:dyDescent="0.3">
      <c r="A8" s="147" t="s">
        <v>79</v>
      </c>
      <c r="B8" s="148">
        <f>BD8+N8+CB8+Z8+AF8+BP8+AR8+BV8+CH8+H8+AL8+BJ8+AX8+T8</f>
        <v>1202122.05</v>
      </c>
      <c r="C8" s="148">
        <f t="shared" ref="C8:G8" si="0">BE8+O8+CC8+AA8+AG8+BQ8+AS8+BW8+CI8+I8+AM8+BK8+AY8+U8</f>
        <v>1112950.05</v>
      </c>
      <c r="D8" s="501">
        <f t="shared" si="0"/>
        <v>1202122.05</v>
      </c>
      <c r="E8" s="501">
        <f t="shared" si="0"/>
        <v>1112950.05</v>
      </c>
      <c r="F8" s="501">
        <f t="shared" si="0"/>
        <v>0</v>
      </c>
      <c r="G8" s="501">
        <f t="shared" si="0"/>
        <v>0</v>
      </c>
      <c r="H8" s="151">
        <f>[1]Субсидия_факт!DJ10</f>
        <v>0</v>
      </c>
      <c r="I8" s="948">
        <f t="shared" ref="I8:I25" si="1">H8</f>
        <v>0</v>
      </c>
      <c r="J8" s="292">
        <f>H8-L8</f>
        <v>0</v>
      </c>
      <c r="K8" s="292">
        <f>I8-M8</f>
        <v>0</v>
      </c>
      <c r="L8" s="875">
        <f>[1]Субсидия_факт!DL10</f>
        <v>0</v>
      </c>
      <c r="M8" s="1397">
        <f t="shared" ref="M8:M25" si="2">L8</f>
        <v>0</v>
      </c>
      <c r="N8" s="151">
        <f>[1]Субсидия_факт!CX10</f>
        <v>0</v>
      </c>
      <c r="O8" s="948">
        <f t="shared" ref="O8:O18" si="3">N8</f>
        <v>0</v>
      </c>
      <c r="P8" s="292">
        <f>N8-R8</f>
        <v>0</v>
      </c>
      <c r="Q8" s="292">
        <f>O8-S8</f>
        <v>0</v>
      </c>
      <c r="R8" s="875">
        <f>[1]Субсидия_факт!CZ10</f>
        <v>0</v>
      </c>
      <c r="S8" s="1397">
        <f t="shared" ref="S8:S17" si="4">R8</f>
        <v>0</v>
      </c>
      <c r="T8" s="1073">
        <f>[1]Субсидия_факт!FB10</f>
        <v>0</v>
      </c>
      <c r="U8" s="1360"/>
      <c r="V8" s="1357">
        <f>T8-X8</f>
        <v>0</v>
      </c>
      <c r="W8" s="1357">
        <f>U8-Y8</f>
        <v>0</v>
      </c>
      <c r="X8" s="1358">
        <f>[1]Субсидия_факт!FD10</f>
        <v>0</v>
      </c>
      <c r="Y8" s="1369"/>
      <c r="Z8" s="151">
        <f>[1]Субсидия_факт!FN10</f>
        <v>0</v>
      </c>
      <c r="AA8" s="753"/>
      <c r="AB8" s="292">
        <f>Z8-AD8</f>
        <v>0</v>
      </c>
      <c r="AC8" s="292">
        <f>AA8-AE8</f>
        <v>0</v>
      </c>
      <c r="AD8" s="875">
        <f>[1]Субсидия_факт!FP10</f>
        <v>0</v>
      </c>
      <c r="AE8" s="294"/>
      <c r="AF8" s="151">
        <f>[1]Субсидия_факт!GT10</f>
        <v>0</v>
      </c>
      <c r="AG8" s="753"/>
      <c r="AH8" s="292">
        <f>AF8-AJ8</f>
        <v>0</v>
      </c>
      <c r="AI8" s="292">
        <f>AG8-AK8</f>
        <v>0</v>
      </c>
      <c r="AJ8" s="875">
        <f>[1]Субсидия_факт!GV10</f>
        <v>0</v>
      </c>
      <c r="AK8" s="294"/>
      <c r="AL8" s="151">
        <f>[1]Субсидия_факт!HH10</f>
        <v>0</v>
      </c>
      <c r="AM8" s="753"/>
      <c r="AN8" s="292">
        <f>AL8-AP8</f>
        <v>0</v>
      </c>
      <c r="AO8" s="292">
        <f>AM8-AQ8</f>
        <v>0</v>
      </c>
      <c r="AP8" s="875">
        <f>[1]Субсидия_факт!HJ10</f>
        <v>0</v>
      </c>
      <c r="AQ8" s="294"/>
      <c r="AR8" s="151">
        <f>[1]Субсидия_факт!IB10</f>
        <v>0</v>
      </c>
      <c r="AS8" s="753"/>
      <c r="AT8" s="292">
        <f>AR8-AV8</f>
        <v>0</v>
      </c>
      <c r="AU8" s="292">
        <f>AS8-AW8</f>
        <v>0</v>
      </c>
      <c r="AV8" s="875">
        <f>[1]Субсидия_факт!ID10</f>
        <v>0</v>
      </c>
      <c r="AW8" s="294"/>
      <c r="AX8" s="1073">
        <f>[1]Субсидия_факт!IZ10</f>
        <v>0</v>
      </c>
      <c r="AY8" s="1074"/>
      <c r="AZ8" s="1357">
        <f>AX8-BB8</f>
        <v>0</v>
      </c>
      <c r="BA8" s="1357"/>
      <c r="BB8" s="1358">
        <f>[1]Субсидия_факт!JB10</f>
        <v>0</v>
      </c>
      <c r="BC8" s="1359">
        <f>AY8</f>
        <v>0</v>
      </c>
      <c r="BD8" s="151">
        <f>[1]Субсидия_факт!JL10</f>
        <v>0</v>
      </c>
      <c r="BE8" s="753"/>
      <c r="BF8" s="292">
        <f>BD8-BH8</f>
        <v>0</v>
      </c>
      <c r="BG8" s="292"/>
      <c r="BH8" s="875">
        <f>[1]Субсидия_факт!JN10</f>
        <v>0</v>
      </c>
      <c r="BI8" s="294"/>
      <c r="BJ8" s="151">
        <f>[1]Субсидия_факт!JR10</f>
        <v>0</v>
      </c>
      <c r="BK8" s="753"/>
      <c r="BL8" s="292">
        <f>BJ8-BN8</f>
        <v>0</v>
      </c>
      <c r="BM8" s="292"/>
      <c r="BN8" s="875">
        <f>[1]Субсидия_факт!JT10</f>
        <v>0</v>
      </c>
      <c r="BO8" s="294"/>
      <c r="BP8" s="151">
        <f>[1]Субсидия_факт!JZ10</f>
        <v>0</v>
      </c>
      <c r="BQ8" s="753"/>
      <c r="BR8" s="292">
        <f>BP8-BT8</f>
        <v>0</v>
      </c>
      <c r="BS8" s="292">
        <f>BQ8-BU8</f>
        <v>0</v>
      </c>
      <c r="BT8" s="875">
        <f>[1]Субсидия_факт!KB10</f>
        <v>0</v>
      </c>
      <c r="BU8" s="294"/>
      <c r="BV8" s="151">
        <f>[1]Субсидия_факт!KF10</f>
        <v>0</v>
      </c>
      <c r="BW8" s="948"/>
      <c r="BX8" s="292">
        <f>BV8-BZ8</f>
        <v>0</v>
      </c>
      <c r="BY8" s="292">
        <f>BW8-CA8</f>
        <v>0</v>
      </c>
      <c r="BZ8" s="875">
        <f>[1]Субсидия_факт!KH10</f>
        <v>0</v>
      </c>
      <c r="CA8" s="294"/>
      <c r="CB8" s="151">
        <f>[1]Субсидия_факт!KX10</f>
        <v>300894.05</v>
      </c>
      <c r="CC8" s="948">
        <f t="shared" ref="CC8:CC25" si="5">CB8</f>
        <v>300894.05</v>
      </c>
      <c r="CD8" s="292">
        <f>CB8-CF8</f>
        <v>300894.05</v>
      </c>
      <c r="CE8" s="292">
        <f>CC8-CG8</f>
        <v>300894.05</v>
      </c>
      <c r="CF8" s="875">
        <f>[1]Субсидия_факт!KZ10</f>
        <v>0</v>
      </c>
      <c r="CG8" s="1397">
        <f>CF8</f>
        <v>0</v>
      </c>
      <c r="CH8" s="151">
        <f>[1]Субсидия_факт!LD10</f>
        <v>901228</v>
      </c>
      <c r="CI8" s="753">
        <v>812056</v>
      </c>
      <c r="CJ8" s="292">
        <f>CH8-CL8</f>
        <v>901228</v>
      </c>
      <c r="CK8" s="292">
        <f>CI8-CM8</f>
        <v>812056</v>
      </c>
      <c r="CL8" s="875">
        <f>[1]Субсидия_факт!LF10</f>
        <v>0</v>
      </c>
      <c r="CM8" s="1397">
        <f>CL8</f>
        <v>0</v>
      </c>
    </row>
    <row r="9" spans="1:91" s="152" customFormat="1" ht="21" customHeight="1" x14ac:dyDescent="0.3">
      <c r="A9" s="147" t="s">
        <v>80</v>
      </c>
      <c r="B9" s="148">
        <f t="shared" ref="B9:B25" si="6">BD9+N9+CB9+Z9+AF9+BP9+AR9+BV9+CH9+H9+AL9+BJ9+AX9+T9</f>
        <v>25098652.370000001</v>
      </c>
      <c r="C9" s="148">
        <f t="shared" ref="C9:C25" si="7">BE9+O9+CC9+AA9+AG9+BQ9+AS9+BW9+CI9+I9+AM9+BK9+AY9+U9</f>
        <v>684918</v>
      </c>
      <c r="D9" s="501">
        <f t="shared" ref="D9:D25" si="8">BF9+P9+CD9+AB9+AH9+BR9+AT9+BX9+CJ9+J9+AN9+BL9+AZ9+V9</f>
        <v>2508150.11</v>
      </c>
      <c r="E9" s="501">
        <f t="shared" ref="E9:E25" si="9">BG9+Q9+CE9+AC9+AI9+BS9+AU9+BY9+CK9+K9+AO9+BM9+BA9+W9</f>
        <v>508150.11</v>
      </c>
      <c r="F9" s="501">
        <f t="shared" ref="F9:F25" si="10">BH9+R9+CF9+AD9+AJ9+BT9+AV9+BZ9+CL9+L9+AP9+BN9+BB9+X9</f>
        <v>22590502.260000002</v>
      </c>
      <c r="G9" s="501">
        <f t="shared" ref="G9:G25" si="11">BI9+S9+CG9+AE9+AK9+BU9+AW9+CA9+CM9+M9+AQ9+BO9+BC9+Y9</f>
        <v>176767.89</v>
      </c>
      <c r="H9" s="151">
        <f>[1]Субсидия_факт!DJ11</f>
        <v>0</v>
      </c>
      <c r="I9" s="948">
        <f t="shared" si="1"/>
        <v>0</v>
      </c>
      <c r="J9" s="292">
        <f t="shared" ref="J9:J25" si="12">H9-L9</f>
        <v>0</v>
      </c>
      <c r="K9" s="292">
        <f t="shared" ref="K9:K25" si="13">I9-M9</f>
        <v>0</v>
      </c>
      <c r="L9" s="875">
        <f>[1]Субсидия_факт!DL11</f>
        <v>0</v>
      </c>
      <c r="M9" s="1397">
        <f t="shared" si="2"/>
        <v>0</v>
      </c>
      <c r="N9" s="151">
        <f>[1]Субсидия_факт!CX11</f>
        <v>0</v>
      </c>
      <c r="O9" s="948">
        <f t="shared" si="3"/>
        <v>0</v>
      </c>
      <c r="P9" s="292">
        <f t="shared" ref="P9:P25" si="14">N9-R9</f>
        <v>0</v>
      </c>
      <c r="Q9" s="292">
        <f t="shared" ref="Q9:Q25" si="15">O9-S9</f>
        <v>0</v>
      </c>
      <c r="R9" s="875">
        <f>[1]Субсидия_факт!CZ11</f>
        <v>0</v>
      </c>
      <c r="S9" s="1397">
        <f t="shared" si="4"/>
        <v>0</v>
      </c>
      <c r="T9" s="1073">
        <f>[1]Субсидия_факт!FB11</f>
        <v>0</v>
      </c>
      <c r="U9" s="1360"/>
      <c r="V9" s="1357">
        <f t="shared" ref="V9:V25" si="16">T9-X9</f>
        <v>0</v>
      </c>
      <c r="W9" s="1357">
        <f t="shared" ref="W9:W25" si="17">U9-Y9</f>
        <v>0</v>
      </c>
      <c r="X9" s="1358">
        <f>[1]Субсидия_факт!FD11</f>
        <v>0</v>
      </c>
      <c r="Y9" s="1369"/>
      <c r="Z9" s="151">
        <f>[1]Субсидия_факт!FN11</f>
        <v>0</v>
      </c>
      <c r="AA9" s="753"/>
      <c r="AB9" s="292">
        <f t="shared" ref="AB9:AB25" si="18">Z9-AD9</f>
        <v>0</v>
      </c>
      <c r="AC9" s="292">
        <f t="shared" ref="AC9:AC25" si="19">AA9-AE9</f>
        <v>0</v>
      </c>
      <c r="AD9" s="875">
        <f>[1]Субсидия_факт!FP11</f>
        <v>0</v>
      </c>
      <c r="AE9" s="294"/>
      <c r="AF9" s="151">
        <f>[1]Субсидия_факт!GT11</f>
        <v>0</v>
      </c>
      <c r="AG9" s="753"/>
      <c r="AH9" s="292">
        <f t="shared" ref="AH9:AH25" si="20">AF9-AJ9</f>
        <v>0</v>
      </c>
      <c r="AI9" s="292">
        <f t="shared" ref="AI9:AI25" si="21">AG9-AK9</f>
        <v>0</v>
      </c>
      <c r="AJ9" s="875">
        <f>[1]Субсидия_факт!GV11</f>
        <v>0</v>
      </c>
      <c r="AK9" s="294"/>
      <c r="AL9" s="151">
        <f>[1]Субсидия_факт!HH11</f>
        <v>0</v>
      </c>
      <c r="AM9" s="753"/>
      <c r="AN9" s="292">
        <f t="shared" ref="AN9:AN25" si="22">AL9-AP9</f>
        <v>0</v>
      </c>
      <c r="AO9" s="292">
        <f t="shared" ref="AO9:AO25" si="23">AM9-AQ9</f>
        <v>0</v>
      </c>
      <c r="AP9" s="875">
        <f>[1]Субсидия_факт!HJ11</f>
        <v>0</v>
      </c>
      <c r="AQ9" s="294"/>
      <c r="AR9" s="151">
        <f>[1]Субсидия_факт!IB11</f>
        <v>21190000</v>
      </c>
      <c r="AS9" s="753"/>
      <c r="AT9" s="292">
        <f t="shared" ref="AT9:AT25" si="24">AR9-AV9</f>
        <v>2000000</v>
      </c>
      <c r="AU9" s="292">
        <f t="shared" ref="AU9:AU25" si="25">AS9-AW9</f>
        <v>0</v>
      </c>
      <c r="AV9" s="875">
        <f>[1]Субсидия_факт!ID11</f>
        <v>19190000</v>
      </c>
      <c r="AW9" s="294"/>
      <c r="AX9" s="1073">
        <f>[1]Субсидия_факт!IZ11</f>
        <v>0</v>
      </c>
      <c r="AY9" s="1074"/>
      <c r="AZ9" s="1357">
        <f t="shared" ref="AZ9:AZ25" si="26">AX9-BB9</f>
        <v>0</v>
      </c>
      <c r="BA9" s="1357"/>
      <c r="BB9" s="1358">
        <f>[1]Субсидия_факт!JB11</f>
        <v>0</v>
      </c>
      <c r="BC9" s="1359">
        <f t="shared" ref="BC9:BC25" si="27">AY9</f>
        <v>0</v>
      </c>
      <c r="BD9" s="151">
        <f>[1]Субсидия_факт!JL11</f>
        <v>1060984.3700000001</v>
      </c>
      <c r="BE9" s="753"/>
      <c r="BF9" s="292">
        <f t="shared" ref="BF9:BF25" si="28">BD9-BH9</f>
        <v>0</v>
      </c>
      <c r="BG9" s="292"/>
      <c r="BH9" s="875">
        <f>[1]Субсидия_факт!JN11</f>
        <v>1060984.3700000001</v>
      </c>
      <c r="BI9" s="294"/>
      <c r="BJ9" s="151">
        <f>[1]Субсидия_факт!JR11</f>
        <v>0</v>
      </c>
      <c r="BK9" s="753"/>
      <c r="BL9" s="292">
        <f t="shared" ref="BL9:BL25" si="29">BJ9-BN9</f>
        <v>0</v>
      </c>
      <c r="BM9" s="292"/>
      <c r="BN9" s="875">
        <f>[1]Субсидия_факт!JT11</f>
        <v>0</v>
      </c>
      <c r="BO9" s="294"/>
      <c r="BP9" s="151">
        <f>[1]Субсидия_факт!JZ11</f>
        <v>600000</v>
      </c>
      <c r="BQ9" s="753"/>
      <c r="BR9" s="292">
        <f t="shared" ref="BR9:BR25" si="30">BP9-BT9</f>
        <v>0</v>
      </c>
      <c r="BS9" s="292">
        <f t="shared" ref="BS9:BS25" si="31">BQ9-BU9</f>
        <v>0</v>
      </c>
      <c r="BT9" s="875">
        <f>[1]Субсидия_факт!KB11</f>
        <v>600000</v>
      </c>
      <c r="BU9" s="294"/>
      <c r="BV9" s="151">
        <f>[1]Субсидия_факт!KF11</f>
        <v>1562750</v>
      </c>
      <c r="BW9" s="948"/>
      <c r="BX9" s="292">
        <f t="shared" ref="BX9:BX25" si="32">BV9-BZ9</f>
        <v>0</v>
      </c>
      <c r="BY9" s="292">
        <f t="shared" ref="BY9:BY25" si="33">BW9-CA9</f>
        <v>0</v>
      </c>
      <c r="BZ9" s="875">
        <f>[1]Субсидия_факт!KH11</f>
        <v>1562750</v>
      </c>
      <c r="CA9" s="294"/>
      <c r="CB9" s="151">
        <f>[1]Субсидия_факт!KX11</f>
        <v>684918</v>
      </c>
      <c r="CC9" s="948">
        <f t="shared" si="5"/>
        <v>684918</v>
      </c>
      <c r="CD9" s="292">
        <f t="shared" ref="CD9:CD25" si="34">CB9-CF9</f>
        <v>508150.11</v>
      </c>
      <c r="CE9" s="292">
        <f t="shared" ref="CE9:CE25" si="35">CC9-CG9</f>
        <v>508150.11</v>
      </c>
      <c r="CF9" s="875">
        <f>[1]Субсидия_факт!KZ11</f>
        <v>176767.89</v>
      </c>
      <c r="CG9" s="1397">
        <f t="shared" ref="CG9:CG25" si="36">CF9</f>
        <v>176767.89</v>
      </c>
      <c r="CH9" s="151">
        <f>[1]Субсидия_факт!LD11</f>
        <v>0</v>
      </c>
      <c r="CI9" s="948">
        <f t="shared" ref="CI9:CI20" si="37">CH9</f>
        <v>0</v>
      </c>
      <c r="CJ9" s="292">
        <f t="shared" ref="CJ9:CJ25" si="38">CH9-CL9</f>
        <v>0</v>
      </c>
      <c r="CK9" s="292">
        <f t="shared" ref="CK9:CK25" si="39">CI9-CM9</f>
        <v>0</v>
      </c>
      <c r="CL9" s="875">
        <f>[1]Субсидия_факт!LF11</f>
        <v>0</v>
      </c>
      <c r="CM9" s="1397">
        <f t="shared" ref="CM9:CM24" si="40">CL9</f>
        <v>0</v>
      </c>
    </row>
    <row r="10" spans="1:91" s="152" customFormat="1" ht="21" customHeight="1" x14ac:dyDescent="0.3">
      <c r="A10" s="147" t="s">
        <v>81</v>
      </c>
      <c r="B10" s="148">
        <f t="shared" si="6"/>
        <v>13302615.890000001</v>
      </c>
      <c r="C10" s="148">
        <f t="shared" si="7"/>
        <v>6232315.75</v>
      </c>
      <c r="D10" s="501">
        <f t="shared" si="8"/>
        <v>12633668.439999999</v>
      </c>
      <c r="E10" s="501">
        <f t="shared" si="9"/>
        <v>6097993.3000000007</v>
      </c>
      <c r="F10" s="501">
        <f t="shared" si="10"/>
        <v>668947.44999999995</v>
      </c>
      <c r="G10" s="501">
        <f t="shared" si="11"/>
        <v>134322.44999999998</v>
      </c>
      <c r="H10" s="151">
        <f>[1]Субсидия_факт!DJ12</f>
        <v>0</v>
      </c>
      <c r="I10" s="948">
        <f t="shared" si="1"/>
        <v>0</v>
      </c>
      <c r="J10" s="292">
        <f t="shared" si="12"/>
        <v>0</v>
      </c>
      <c r="K10" s="292">
        <f t="shared" si="13"/>
        <v>0</v>
      </c>
      <c r="L10" s="875">
        <f>[1]Субсидия_факт!DL12</f>
        <v>0</v>
      </c>
      <c r="M10" s="1397">
        <f t="shared" si="2"/>
        <v>0</v>
      </c>
      <c r="N10" s="151">
        <f>[1]Субсидия_факт!CX12</f>
        <v>4162.6499999999996</v>
      </c>
      <c r="O10" s="948">
        <f t="shared" si="3"/>
        <v>4162.6499999999996</v>
      </c>
      <c r="P10" s="292">
        <f t="shared" si="14"/>
        <v>2063.66</v>
      </c>
      <c r="Q10" s="292">
        <f t="shared" si="15"/>
        <v>2063.66</v>
      </c>
      <c r="R10" s="875">
        <f>[1]Субсидия_факт!CZ12</f>
        <v>2098.9899999999998</v>
      </c>
      <c r="S10" s="1397">
        <f t="shared" si="4"/>
        <v>2098.9899999999998</v>
      </c>
      <c r="T10" s="1073">
        <f>[1]Субсидия_факт!FB12</f>
        <v>288000</v>
      </c>
      <c r="U10" s="1360"/>
      <c r="V10" s="1357">
        <f t="shared" si="16"/>
        <v>288000</v>
      </c>
      <c r="W10" s="1357">
        <f t="shared" si="17"/>
        <v>0</v>
      </c>
      <c r="X10" s="1358">
        <f>[1]Субсидия_факт!FD12</f>
        <v>0</v>
      </c>
      <c r="Y10" s="1369"/>
      <c r="Z10" s="151">
        <f>[1]Субсидия_факт!FN12</f>
        <v>3640814</v>
      </c>
      <c r="AA10" s="753">
        <v>1902646.86</v>
      </c>
      <c r="AB10" s="292">
        <f t="shared" si="18"/>
        <v>3640814</v>
      </c>
      <c r="AC10" s="292">
        <f t="shared" si="19"/>
        <v>1902646.86</v>
      </c>
      <c r="AD10" s="875">
        <f>[1]Субсидия_факт!FP12</f>
        <v>0</v>
      </c>
      <c r="AE10" s="294"/>
      <c r="AF10" s="151">
        <f>[1]Субсидия_факт!GT12</f>
        <v>0</v>
      </c>
      <c r="AG10" s="753"/>
      <c r="AH10" s="292">
        <f t="shared" si="20"/>
        <v>0</v>
      </c>
      <c r="AI10" s="292">
        <f t="shared" si="21"/>
        <v>0</v>
      </c>
      <c r="AJ10" s="875">
        <f>[1]Субсидия_факт!GV12</f>
        <v>0</v>
      </c>
      <c r="AK10" s="294"/>
      <c r="AL10" s="151">
        <f>[1]Субсидия_факт!HH12</f>
        <v>0</v>
      </c>
      <c r="AM10" s="753"/>
      <c r="AN10" s="292">
        <f t="shared" si="22"/>
        <v>0</v>
      </c>
      <c r="AO10" s="292">
        <f t="shared" si="23"/>
        <v>0</v>
      </c>
      <c r="AP10" s="875">
        <f>[1]Субсидия_факт!HJ12</f>
        <v>0</v>
      </c>
      <c r="AQ10" s="294"/>
      <c r="AR10" s="151">
        <f>[1]Субсидия_факт!IB12</f>
        <v>4509508</v>
      </c>
      <c r="AS10" s="753"/>
      <c r="AT10" s="292">
        <f t="shared" si="24"/>
        <v>4509508</v>
      </c>
      <c r="AU10" s="292">
        <f t="shared" si="25"/>
        <v>0</v>
      </c>
      <c r="AV10" s="875">
        <f>[1]Субсидия_факт!ID12</f>
        <v>0</v>
      </c>
      <c r="AW10" s="294"/>
      <c r="AX10" s="1073">
        <f>[1]Субсидия_факт!IZ12</f>
        <v>0</v>
      </c>
      <c r="AY10" s="1074"/>
      <c r="AZ10" s="1357">
        <f t="shared" si="26"/>
        <v>0</v>
      </c>
      <c r="BA10" s="1357"/>
      <c r="BB10" s="1358">
        <f>[1]Субсидия_факт!JB12</f>
        <v>0</v>
      </c>
      <c r="BC10" s="1359">
        <f t="shared" si="27"/>
        <v>0</v>
      </c>
      <c r="BD10" s="151">
        <f>[1]Субсидия_факт!JL12</f>
        <v>0</v>
      </c>
      <c r="BE10" s="753"/>
      <c r="BF10" s="292">
        <f t="shared" si="28"/>
        <v>0</v>
      </c>
      <c r="BG10" s="292"/>
      <c r="BH10" s="875">
        <f>[1]Субсидия_факт!JN12</f>
        <v>0</v>
      </c>
      <c r="BI10" s="294"/>
      <c r="BJ10" s="151">
        <f>[1]Субсидия_факт!JR12</f>
        <v>0</v>
      </c>
      <c r="BK10" s="753"/>
      <c r="BL10" s="292">
        <f t="shared" si="29"/>
        <v>0</v>
      </c>
      <c r="BM10" s="292"/>
      <c r="BN10" s="875">
        <f>[1]Субсидия_факт!JT12</f>
        <v>0</v>
      </c>
      <c r="BO10" s="294"/>
      <c r="BP10" s="151">
        <f>[1]Субсидия_факт!JZ12</f>
        <v>0</v>
      </c>
      <c r="BQ10" s="753"/>
      <c r="BR10" s="292">
        <f t="shared" si="30"/>
        <v>0</v>
      </c>
      <c r="BS10" s="292">
        <f t="shared" si="31"/>
        <v>0</v>
      </c>
      <c r="BT10" s="875">
        <f>[1]Субсидия_факт!KB12</f>
        <v>0</v>
      </c>
      <c r="BU10" s="294"/>
      <c r="BV10" s="151">
        <f>[1]Субсидия_факт!KF12</f>
        <v>534625</v>
      </c>
      <c r="BW10" s="948"/>
      <c r="BX10" s="292">
        <f t="shared" si="32"/>
        <v>0</v>
      </c>
      <c r="BY10" s="292">
        <f t="shared" si="33"/>
        <v>0</v>
      </c>
      <c r="BZ10" s="875">
        <f>[1]Субсидия_факт!KH12</f>
        <v>534625</v>
      </c>
      <c r="CA10" s="294"/>
      <c r="CB10" s="151">
        <f>[1]Субсидия_факт!KX12</f>
        <v>383343.24</v>
      </c>
      <c r="CC10" s="948">
        <f t="shared" si="5"/>
        <v>383343.24</v>
      </c>
      <c r="CD10" s="292">
        <f t="shared" si="34"/>
        <v>251119.78</v>
      </c>
      <c r="CE10" s="292">
        <f t="shared" si="35"/>
        <v>251119.78</v>
      </c>
      <c r="CF10" s="875">
        <f>[1]Субсидия_факт!KZ12</f>
        <v>132223.46</v>
      </c>
      <c r="CG10" s="1397">
        <f t="shared" si="36"/>
        <v>132223.46</v>
      </c>
      <c r="CH10" s="151">
        <f>[1]Субсидия_факт!LD12</f>
        <v>3942163</v>
      </c>
      <c r="CI10" s="948">
        <f t="shared" si="37"/>
        <v>3942163</v>
      </c>
      <c r="CJ10" s="292">
        <f t="shared" si="38"/>
        <v>3942163</v>
      </c>
      <c r="CK10" s="292">
        <f t="shared" si="39"/>
        <v>3942163</v>
      </c>
      <c r="CL10" s="875">
        <f>[1]Субсидия_факт!LF12</f>
        <v>0</v>
      </c>
      <c r="CM10" s="1397">
        <f t="shared" si="40"/>
        <v>0</v>
      </c>
    </row>
    <row r="11" spans="1:91" s="152" customFormat="1" ht="21" customHeight="1" x14ac:dyDescent="0.3">
      <c r="A11" s="147" t="s">
        <v>82</v>
      </c>
      <c r="B11" s="148">
        <f t="shared" si="6"/>
        <v>12568432.58</v>
      </c>
      <c r="C11" s="148">
        <f t="shared" si="7"/>
        <v>1026869.2300000001</v>
      </c>
      <c r="D11" s="501">
        <f t="shared" si="8"/>
        <v>12568432.58</v>
      </c>
      <c r="E11" s="501">
        <f t="shared" si="9"/>
        <v>1026869.2300000001</v>
      </c>
      <c r="F11" s="501">
        <f t="shared" si="10"/>
        <v>0</v>
      </c>
      <c r="G11" s="501">
        <f t="shared" si="11"/>
        <v>0</v>
      </c>
      <c r="H11" s="151">
        <f>[1]Субсидия_факт!DJ13</f>
        <v>0</v>
      </c>
      <c r="I11" s="948">
        <f t="shared" si="1"/>
        <v>0</v>
      </c>
      <c r="J11" s="292">
        <f t="shared" si="12"/>
        <v>0</v>
      </c>
      <c r="K11" s="292">
        <f t="shared" si="13"/>
        <v>0</v>
      </c>
      <c r="L11" s="875">
        <f>[1]Субсидия_факт!DL13</f>
        <v>0</v>
      </c>
      <c r="M11" s="1397">
        <f t="shared" si="2"/>
        <v>0</v>
      </c>
      <c r="N11" s="151">
        <f>[1]Субсидия_факт!CX13</f>
        <v>0</v>
      </c>
      <c r="O11" s="948">
        <f t="shared" si="3"/>
        <v>0</v>
      </c>
      <c r="P11" s="292">
        <f t="shared" si="14"/>
        <v>0</v>
      </c>
      <c r="Q11" s="292">
        <f t="shared" si="15"/>
        <v>0</v>
      </c>
      <c r="R11" s="875">
        <f>[1]Субсидия_факт!CZ13</f>
        <v>0</v>
      </c>
      <c r="S11" s="1397">
        <f t="shared" si="4"/>
        <v>0</v>
      </c>
      <c r="T11" s="1073">
        <f>[1]Субсидия_факт!FB13</f>
        <v>0</v>
      </c>
      <c r="U11" s="1360"/>
      <c r="V11" s="1357">
        <f t="shared" si="16"/>
        <v>0</v>
      </c>
      <c r="W11" s="1357">
        <f t="shared" si="17"/>
        <v>0</v>
      </c>
      <c r="X11" s="1358">
        <f>[1]Субсидия_факт!FD13</f>
        <v>0</v>
      </c>
      <c r="Y11" s="1369"/>
      <c r="Z11" s="151">
        <f>[1]Субсидия_факт!FN13</f>
        <v>0</v>
      </c>
      <c r="AA11" s="753"/>
      <c r="AB11" s="292">
        <f t="shared" si="18"/>
        <v>0</v>
      </c>
      <c r="AC11" s="292">
        <f t="shared" si="19"/>
        <v>0</v>
      </c>
      <c r="AD11" s="875">
        <f>[1]Субсидия_факт!FP13</f>
        <v>0</v>
      </c>
      <c r="AE11" s="294"/>
      <c r="AF11" s="151">
        <f>[1]Субсидия_факт!GT13</f>
        <v>0</v>
      </c>
      <c r="AG11" s="753"/>
      <c r="AH11" s="292">
        <f t="shared" si="20"/>
        <v>0</v>
      </c>
      <c r="AI11" s="292">
        <f t="shared" si="21"/>
        <v>0</v>
      </c>
      <c r="AJ11" s="875">
        <f>[1]Субсидия_факт!GV13</f>
        <v>0</v>
      </c>
      <c r="AK11" s="294"/>
      <c r="AL11" s="151">
        <f>[1]Субсидия_факт!HH13</f>
        <v>0</v>
      </c>
      <c r="AM11" s="753"/>
      <c r="AN11" s="292">
        <f t="shared" si="22"/>
        <v>0</v>
      </c>
      <c r="AO11" s="292">
        <f t="shared" si="23"/>
        <v>0</v>
      </c>
      <c r="AP11" s="875">
        <f>[1]Субсидия_факт!HJ13</f>
        <v>0</v>
      </c>
      <c r="AQ11" s="294"/>
      <c r="AR11" s="151">
        <f>[1]Субсидия_факт!IB13</f>
        <v>11300000</v>
      </c>
      <c r="AS11" s="753"/>
      <c r="AT11" s="292">
        <f t="shared" si="24"/>
        <v>11300000</v>
      </c>
      <c r="AU11" s="292">
        <f t="shared" si="25"/>
        <v>0</v>
      </c>
      <c r="AV11" s="875">
        <f>[1]Субсидия_факт!ID13</f>
        <v>0</v>
      </c>
      <c r="AW11" s="294"/>
      <c r="AX11" s="1073">
        <f>[1]Субсидия_факт!IZ13</f>
        <v>0</v>
      </c>
      <c r="AY11" s="1074"/>
      <c r="AZ11" s="1357">
        <f t="shared" si="26"/>
        <v>0</v>
      </c>
      <c r="BA11" s="1357"/>
      <c r="BB11" s="1358">
        <f>[1]Субсидия_факт!JB13</f>
        <v>0</v>
      </c>
      <c r="BC11" s="1359">
        <f t="shared" si="27"/>
        <v>0</v>
      </c>
      <c r="BD11" s="151">
        <f>[1]Субсидия_факт!JL13</f>
        <v>0</v>
      </c>
      <c r="BE11" s="753"/>
      <c r="BF11" s="292">
        <f t="shared" si="28"/>
        <v>0</v>
      </c>
      <c r="BG11" s="292"/>
      <c r="BH11" s="875">
        <f>[1]Субсидия_факт!JN13</f>
        <v>0</v>
      </c>
      <c r="BI11" s="294"/>
      <c r="BJ11" s="151">
        <f>[1]Субсидия_факт!JR13</f>
        <v>0</v>
      </c>
      <c r="BK11" s="753"/>
      <c r="BL11" s="292">
        <f t="shared" si="29"/>
        <v>0</v>
      </c>
      <c r="BM11" s="292"/>
      <c r="BN11" s="875">
        <f>[1]Субсидия_факт!JT13</f>
        <v>0</v>
      </c>
      <c r="BO11" s="294"/>
      <c r="BP11" s="151">
        <f>[1]Субсидия_факт!JZ13</f>
        <v>0</v>
      </c>
      <c r="BQ11" s="753"/>
      <c r="BR11" s="292">
        <f t="shared" si="30"/>
        <v>0</v>
      </c>
      <c r="BS11" s="292">
        <f t="shared" si="31"/>
        <v>0</v>
      </c>
      <c r="BT11" s="875">
        <f>[1]Субсидия_факт!KB13</f>
        <v>0</v>
      </c>
      <c r="BU11" s="294"/>
      <c r="BV11" s="151">
        <f>[1]Субсидия_факт!KF13</f>
        <v>0</v>
      </c>
      <c r="BW11" s="948"/>
      <c r="BX11" s="292">
        <f t="shared" si="32"/>
        <v>0</v>
      </c>
      <c r="BY11" s="292">
        <f t="shared" si="33"/>
        <v>0</v>
      </c>
      <c r="BZ11" s="875">
        <f>[1]Субсидия_факт!KH13</f>
        <v>0</v>
      </c>
      <c r="CA11" s="294"/>
      <c r="CB11" s="151">
        <f>[1]Субсидия_факт!KX13</f>
        <v>363441.58000000007</v>
      </c>
      <c r="CC11" s="948">
        <f t="shared" si="5"/>
        <v>363441.58000000007</v>
      </c>
      <c r="CD11" s="292">
        <f t="shared" si="34"/>
        <v>363441.58000000007</v>
      </c>
      <c r="CE11" s="292">
        <f t="shared" si="35"/>
        <v>363441.58000000007</v>
      </c>
      <c r="CF11" s="875">
        <f>[1]Субсидия_факт!KZ13</f>
        <v>0</v>
      </c>
      <c r="CG11" s="1397">
        <f t="shared" si="36"/>
        <v>0</v>
      </c>
      <c r="CH11" s="151">
        <f>[1]Субсидия_факт!LD13</f>
        <v>904991</v>
      </c>
      <c r="CI11" s="753">
        <v>663427.65</v>
      </c>
      <c r="CJ11" s="292">
        <f t="shared" si="38"/>
        <v>904991</v>
      </c>
      <c r="CK11" s="292">
        <f t="shared" si="39"/>
        <v>663427.65</v>
      </c>
      <c r="CL11" s="875">
        <f>[1]Субсидия_факт!LF13</f>
        <v>0</v>
      </c>
      <c r="CM11" s="1397">
        <f t="shared" si="40"/>
        <v>0</v>
      </c>
    </row>
    <row r="12" spans="1:91" s="152" customFormat="1" ht="21" customHeight="1" x14ac:dyDescent="0.3">
      <c r="A12" s="147" t="s">
        <v>83</v>
      </c>
      <c r="B12" s="148">
        <f t="shared" si="6"/>
        <v>7000480.29</v>
      </c>
      <c r="C12" s="148">
        <f t="shared" si="7"/>
        <v>6983293.5800000001</v>
      </c>
      <c r="D12" s="501">
        <f t="shared" si="8"/>
        <v>7000480.29</v>
      </c>
      <c r="E12" s="501">
        <f t="shared" si="9"/>
        <v>6983293.5800000001</v>
      </c>
      <c r="F12" s="501">
        <f t="shared" si="10"/>
        <v>0</v>
      </c>
      <c r="G12" s="501">
        <f t="shared" si="11"/>
        <v>0</v>
      </c>
      <c r="H12" s="151">
        <f>[1]Субсидия_факт!DJ14</f>
        <v>0</v>
      </c>
      <c r="I12" s="948">
        <f t="shared" si="1"/>
        <v>0</v>
      </c>
      <c r="J12" s="292">
        <f t="shared" si="12"/>
        <v>0</v>
      </c>
      <c r="K12" s="292">
        <f t="shared" si="13"/>
        <v>0</v>
      </c>
      <c r="L12" s="875">
        <f>[1]Субсидия_факт!DL14</f>
        <v>0</v>
      </c>
      <c r="M12" s="1397">
        <f t="shared" si="2"/>
        <v>0</v>
      </c>
      <c r="N12" s="151">
        <f>[1]Субсидия_факт!CX14</f>
        <v>0</v>
      </c>
      <c r="O12" s="948">
        <f t="shared" si="3"/>
        <v>0</v>
      </c>
      <c r="P12" s="292">
        <f t="shared" si="14"/>
        <v>0</v>
      </c>
      <c r="Q12" s="292">
        <f t="shared" si="15"/>
        <v>0</v>
      </c>
      <c r="R12" s="875">
        <f>[1]Субсидия_факт!CZ14</f>
        <v>0</v>
      </c>
      <c r="S12" s="1397">
        <f t="shared" si="4"/>
        <v>0</v>
      </c>
      <c r="T12" s="1073">
        <f>[1]Субсидия_факт!FB14</f>
        <v>0</v>
      </c>
      <c r="U12" s="1360"/>
      <c r="V12" s="1357">
        <f t="shared" si="16"/>
        <v>0</v>
      </c>
      <c r="W12" s="1357">
        <f t="shared" si="17"/>
        <v>0</v>
      </c>
      <c r="X12" s="1358">
        <f>[1]Субсидия_факт!FD14</f>
        <v>0</v>
      </c>
      <c r="Y12" s="1369"/>
      <c r="Z12" s="151">
        <f>[1]Субсидия_факт!FN14</f>
        <v>0</v>
      </c>
      <c r="AA12" s="753"/>
      <c r="AB12" s="292">
        <f t="shared" si="18"/>
        <v>0</v>
      </c>
      <c r="AC12" s="292">
        <f t="shared" si="19"/>
        <v>0</v>
      </c>
      <c r="AD12" s="875">
        <f>[1]Субсидия_факт!FP14</f>
        <v>0</v>
      </c>
      <c r="AE12" s="294"/>
      <c r="AF12" s="151">
        <f>[1]Субсидия_факт!GT14</f>
        <v>0</v>
      </c>
      <c r="AG12" s="753"/>
      <c r="AH12" s="292">
        <f t="shared" si="20"/>
        <v>0</v>
      </c>
      <c r="AI12" s="292">
        <f t="shared" si="21"/>
        <v>0</v>
      </c>
      <c r="AJ12" s="875">
        <f>[1]Субсидия_факт!GV14</f>
        <v>0</v>
      </c>
      <c r="AK12" s="294"/>
      <c r="AL12" s="151">
        <f>[1]Субсидия_факт!HH14</f>
        <v>0</v>
      </c>
      <c r="AM12" s="753"/>
      <c r="AN12" s="292">
        <f t="shared" si="22"/>
        <v>0</v>
      </c>
      <c r="AO12" s="292">
        <f t="shared" si="23"/>
        <v>0</v>
      </c>
      <c r="AP12" s="875">
        <f>[1]Субсидия_факт!HJ14</f>
        <v>0</v>
      </c>
      <c r="AQ12" s="294"/>
      <c r="AR12" s="151">
        <f>[1]Субсидия_факт!IB14</f>
        <v>0</v>
      </c>
      <c r="AS12" s="753"/>
      <c r="AT12" s="292">
        <f t="shared" si="24"/>
        <v>0</v>
      </c>
      <c r="AU12" s="292">
        <f t="shared" si="25"/>
        <v>0</v>
      </c>
      <c r="AV12" s="875">
        <f>[1]Субсидия_факт!ID14</f>
        <v>0</v>
      </c>
      <c r="AW12" s="294"/>
      <c r="AX12" s="1073">
        <f>[1]Субсидия_факт!IZ14</f>
        <v>0</v>
      </c>
      <c r="AY12" s="1074"/>
      <c r="AZ12" s="1357">
        <f t="shared" si="26"/>
        <v>0</v>
      </c>
      <c r="BA12" s="1357"/>
      <c r="BB12" s="1358">
        <f>[1]Субсидия_факт!JB14</f>
        <v>0</v>
      </c>
      <c r="BC12" s="1359">
        <f t="shared" si="27"/>
        <v>0</v>
      </c>
      <c r="BD12" s="151">
        <f>[1]Субсидия_факт!JL14</f>
        <v>0</v>
      </c>
      <c r="BE12" s="753"/>
      <c r="BF12" s="292">
        <f t="shared" si="28"/>
        <v>0</v>
      </c>
      <c r="BG12" s="292"/>
      <c r="BH12" s="875">
        <f>[1]Субсидия_факт!JN14</f>
        <v>0</v>
      </c>
      <c r="BI12" s="294"/>
      <c r="BJ12" s="151">
        <f>[1]Субсидия_факт!JR14</f>
        <v>0</v>
      </c>
      <c r="BK12" s="753"/>
      <c r="BL12" s="292">
        <f t="shared" si="29"/>
        <v>0</v>
      </c>
      <c r="BM12" s="292"/>
      <c r="BN12" s="875">
        <f>[1]Субсидия_факт!JT14</f>
        <v>0</v>
      </c>
      <c r="BO12" s="294"/>
      <c r="BP12" s="151">
        <f>[1]Субсидия_факт!JZ14</f>
        <v>0</v>
      </c>
      <c r="BQ12" s="753"/>
      <c r="BR12" s="292">
        <f t="shared" si="30"/>
        <v>0</v>
      </c>
      <c r="BS12" s="292">
        <f t="shared" si="31"/>
        <v>0</v>
      </c>
      <c r="BT12" s="875">
        <f>[1]Субсидия_факт!KB14</f>
        <v>0</v>
      </c>
      <c r="BU12" s="294"/>
      <c r="BV12" s="151">
        <f>[1]Субсидия_факт!KF14</f>
        <v>0</v>
      </c>
      <c r="BW12" s="948"/>
      <c r="BX12" s="292">
        <f t="shared" si="32"/>
        <v>0</v>
      </c>
      <c r="BY12" s="292">
        <f t="shared" si="33"/>
        <v>0</v>
      </c>
      <c r="BZ12" s="875">
        <f>[1]Субсидия_факт!KH14</f>
        <v>0</v>
      </c>
      <c r="CA12" s="294"/>
      <c r="CB12" s="151">
        <f>[1]Субсидия_факт!KX14</f>
        <v>589376.29</v>
      </c>
      <c r="CC12" s="948">
        <f t="shared" si="5"/>
        <v>589376.29</v>
      </c>
      <c r="CD12" s="292">
        <f t="shared" si="34"/>
        <v>589376.29</v>
      </c>
      <c r="CE12" s="292">
        <f t="shared" si="35"/>
        <v>589376.29</v>
      </c>
      <c r="CF12" s="875">
        <f>[1]Субсидия_факт!KZ14</f>
        <v>0</v>
      </c>
      <c r="CG12" s="1397">
        <f t="shared" si="36"/>
        <v>0</v>
      </c>
      <c r="CH12" s="151">
        <f>[1]Субсидия_факт!LD14</f>
        <v>6411104</v>
      </c>
      <c r="CI12" s="753">
        <v>6393917.29</v>
      </c>
      <c r="CJ12" s="292">
        <f t="shared" si="38"/>
        <v>6411104</v>
      </c>
      <c r="CK12" s="292">
        <f t="shared" si="39"/>
        <v>6393917.29</v>
      </c>
      <c r="CL12" s="875">
        <f>[1]Субсидия_факт!LF14</f>
        <v>0</v>
      </c>
      <c r="CM12" s="1397">
        <f t="shared" si="40"/>
        <v>0</v>
      </c>
    </row>
    <row r="13" spans="1:91" s="152" customFormat="1" ht="21" customHeight="1" x14ac:dyDescent="0.3">
      <c r="A13" s="147" t="s">
        <v>84</v>
      </c>
      <c r="B13" s="148">
        <f t="shared" si="6"/>
        <v>3888818.56</v>
      </c>
      <c r="C13" s="148">
        <f t="shared" si="7"/>
        <v>2892945.21</v>
      </c>
      <c r="D13" s="501">
        <f t="shared" si="8"/>
        <v>3888818.56</v>
      </c>
      <c r="E13" s="501">
        <f t="shared" si="9"/>
        <v>2892945.21</v>
      </c>
      <c r="F13" s="501">
        <f t="shared" si="10"/>
        <v>0</v>
      </c>
      <c r="G13" s="501">
        <f t="shared" si="11"/>
        <v>0</v>
      </c>
      <c r="H13" s="151">
        <f>[1]Субсидия_факт!DJ15</f>
        <v>0</v>
      </c>
      <c r="I13" s="948">
        <f t="shared" si="1"/>
        <v>0</v>
      </c>
      <c r="J13" s="292">
        <f t="shared" si="12"/>
        <v>0</v>
      </c>
      <c r="K13" s="292">
        <f t="shared" si="13"/>
        <v>0</v>
      </c>
      <c r="L13" s="875">
        <f>[1]Субсидия_факт!DL15</f>
        <v>0</v>
      </c>
      <c r="M13" s="1397">
        <f t="shared" si="2"/>
        <v>0</v>
      </c>
      <c r="N13" s="151">
        <f>[1]Субсидия_факт!CX15</f>
        <v>0</v>
      </c>
      <c r="O13" s="948">
        <f t="shared" si="3"/>
        <v>0</v>
      </c>
      <c r="P13" s="292">
        <f t="shared" si="14"/>
        <v>0</v>
      </c>
      <c r="Q13" s="292">
        <f t="shared" si="15"/>
        <v>0</v>
      </c>
      <c r="R13" s="875">
        <f>[1]Субсидия_факт!CZ15</f>
        <v>0</v>
      </c>
      <c r="S13" s="1397">
        <f t="shared" si="4"/>
        <v>0</v>
      </c>
      <c r="T13" s="1073">
        <f>[1]Субсидия_факт!FB15</f>
        <v>0</v>
      </c>
      <c r="U13" s="1360"/>
      <c r="V13" s="1357">
        <f t="shared" si="16"/>
        <v>0</v>
      </c>
      <c r="W13" s="1357">
        <f t="shared" si="17"/>
        <v>0</v>
      </c>
      <c r="X13" s="1358">
        <f>[1]Субсидия_факт!FD15</f>
        <v>0</v>
      </c>
      <c r="Y13" s="1369"/>
      <c r="Z13" s="151">
        <f>[1]Субсидия_факт!FN15</f>
        <v>799576</v>
      </c>
      <c r="AA13" s="753">
        <v>278070</v>
      </c>
      <c r="AB13" s="292">
        <f t="shared" si="18"/>
        <v>799576</v>
      </c>
      <c r="AC13" s="292">
        <f t="shared" si="19"/>
        <v>278070</v>
      </c>
      <c r="AD13" s="875">
        <f>[1]Субсидия_факт!FP15</f>
        <v>0</v>
      </c>
      <c r="AE13" s="294"/>
      <c r="AF13" s="151">
        <f>[1]Субсидия_факт!GT15</f>
        <v>0</v>
      </c>
      <c r="AG13" s="753"/>
      <c r="AH13" s="292">
        <f t="shared" si="20"/>
        <v>0</v>
      </c>
      <c r="AI13" s="292">
        <f t="shared" si="21"/>
        <v>0</v>
      </c>
      <c r="AJ13" s="875">
        <f>[1]Субсидия_факт!GV15</f>
        <v>0</v>
      </c>
      <c r="AK13" s="294"/>
      <c r="AL13" s="151">
        <f>[1]Субсидия_факт!HH15</f>
        <v>0</v>
      </c>
      <c r="AM13" s="753"/>
      <c r="AN13" s="292">
        <f t="shared" si="22"/>
        <v>0</v>
      </c>
      <c r="AO13" s="292">
        <f t="shared" si="23"/>
        <v>0</v>
      </c>
      <c r="AP13" s="875">
        <f>[1]Субсидия_факт!HJ15</f>
        <v>0</v>
      </c>
      <c r="AQ13" s="294"/>
      <c r="AR13" s="151">
        <f>[1]Субсидия_факт!IB15</f>
        <v>0</v>
      </c>
      <c r="AS13" s="753"/>
      <c r="AT13" s="292">
        <f t="shared" si="24"/>
        <v>0</v>
      </c>
      <c r="AU13" s="292">
        <f t="shared" si="25"/>
        <v>0</v>
      </c>
      <c r="AV13" s="875">
        <f>[1]Субсидия_факт!ID15</f>
        <v>0</v>
      </c>
      <c r="AW13" s="294"/>
      <c r="AX13" s="1073">
        <f>[1]Субсидия_факт!IZ15</f>
        <v>0</v>
      </c>
      <c r="AY13" s="1074"/>
      <c r="AZ13" s="1357">
        <f t="shared" si="26"/>
        <v>0</v>
      </c>
      <c r="BA13" s="1357"/>
      <c r="BB13" s="1358">
        <f>[1]Субсидия_факт!JB15</f>
        <v>0</v>
      </c>
      <c r="BC13" s="1359">
        <f t="shared" si="27"/>
        <v>0</v>
      </c>
      <c r="BD13" s="151">
        <f>[1]Субсидия_факт!JL15</f>
        <v>0</v>
      </c>
      <c r="BE13" s="753"/>
      <c r="BF13" s="292">
        <f t="shared" si="28"/>
        <v>0</v>
      </c>
      <c r="BG13" s="292"/>
      <c r="BH13" s="875">
        <f>[1]Субсидия_факт!JN15</f>
        <v>0</v>
      </c>
      <c r="BI13" s="294"/>
      <c r="BJ13" s="151">
        <f>[1]Субсидия_факт!JR15</f>
        <v>0</v>
      </c>
      <c r="BK13" s="753"/>
      <c r="BL13" s="292">
        <f t="shared" si="29"/>
        <v>0</v>
      </c>
      <c r="BM13" s="292"/>
      <c r="BN13" s="875">
        <f>[1]Субсидия_факт!JT15</f>
        <v>0</v>
      </c>
      <c r="BO13" s="294"/>
      <c r="BP13" s="151">
        <f>[1]Субсидия_факт!JZ15</f>
        <v>0</v>
      </c>
      <c r="BQ13" s="753"/>
      <c r="BR13" s="292">
        <f t="shared" si="30"/>
        <v>0</v>
      </c>
      <c r="BS13" s="292">
        <f t="shared" si="31"/>
        <v>0</v>
      </c>
      <c r="BT13" s="875">
        <f>[1]Субсидия_факт!KB15</f>
        <v>0</v>
      </c>
      <c r="BU13" s="294"/>
      <c r="BV13" s="151">
        <f>[1]Субсидия_факт!KF15</f>
        <v>0</v>
      </c>
      <c r="BW13" s="948"/>
      <c r="BX13" s="292">
        <f t="shared" si="32"/>
        <v>0</v>
      </c>
      <c r="BY13" s="292">
        <f t="shared" si="33"/>
        <v>0</v>
      </c>
      <c r="BZ13" s="875">
        <f>[1]Субсидия_факт!KH15</f>
        <v>0</v>
      </c>
      <c r="CA13" s="294"/>
      <c r="CB13" s="151">
        <f>[1]Субсидия_факт!KX15</f>
        <v>473247.55999999994</v>
      </c>
      <c r="CC13" s="948">
        <f t="shared" si="5"/>
        <v>473247.55999999994</v>
      </c>
      <c r="CD13" s="292">
        <f t="shared" si="34"/>
        <v>473247.55999999994</v>
      </c>
      <c r="CE13" s="292">
        <f t="shared" si="35"/>
        <v>473247.55999999994</v>
      </c>
      <c r="CF13" s="875">
        <f>[1]Субсидия_факт!KZ15</f>
        <v>0</v>
      </c>
      <c r="CG13" s="1397">
        <f t="shared" si="36"/>
        <v>0</v>
      </c>
      <c r="CH13" s="151">
        <f>[1]Субсидия_факт!LD15</f>
        <v>2615995</v>
      </c>
      <c r="CI13" s="753">
        <v>2141627.65</v>
      </c>
      <c r="CJ13" s="292">
        <f t="shared" si="38"/>
        <v>2615995</v>
      </c>
      <c r="CK13" s="292">
        <f t="shared" si="39"/>
        <v>2141627.65</v>
      </c>
      <c r="CL13" s="875">
        <f>[1]Субсидия_факт!LF15</f>
        <v>0</v>
      </c>
      <c r="CM13" s="1397">
        <f t="shared" si="40"/>
        <v>0</v>
      </c>
    </row>
    <row r="14" spans="1:91" s="152" customFormat="1" ht="21" customHeight="1" x14ac:dyDescent="0.3">
      <c r="A14" s="147" t="s">
        <v>85</v>
      </c>
      <c r="B14" s="148">
        <f t="shared" si="6"/>
        <v>9193598.7899999991</v>
      </c>
      <c r="C14" s="148">
        <f t="shared" si="7"/>
        <v>5536232.3799999999</v>
      </c>
      <c r="D14" s="501">
        <f t="shared" si="8"/>
        <v>9193598.7899999991</v>
      </c>
      <c r="E14" s="501">
        <f t="shared" si="9"/>
        <v>5536232.3799999999</v>
      </c>
      <c r="F14" s="501">
        <f t="shared" si="10"/>
        <v>0</v>
      </c>
      <c r="G14" s="501">
        <f t="shared" si="11"/>
        <v>0</v>
      </c>
      <c r="H14" s="151">
        <f>[1]Субсидия_факт!DJ16</f>
        <v>0</v>
      </c>
      <c r="I14" s="948">
        <f t="shared" si="1"/>
        <v>0</v>
      </c>
      <c r="J14" s="292">
        <f t="shared" si="12"/>
        <v>0</v>
      </c>
      <c r="K14" s="292">
        <f t="shared" si="13"/>
        <v>0</v>
      </c>
      <c r="L14" s="875">
        <f>[1]Субсидия_факт!DL16</f>
        <v>0</v>
      </c>
      <c r="M14" s="1397">
        <f t="shared" si="2"/>
        <v>0</v>
      </c>
      <c r="N14" s="151">
        <f>[1]Субсидия_факт!CX16</f>
        <v>3462.9799999999996</v>
      </c>
      <c r="O14" s="948">
        <f t="shared" si="3"/>
        <v>3462.9799999999996</v>
      </c>
      <c r="P14" s="292">
        <f t="shared" si="14"/>
        <v>3462.9799999999996</v>
      </c>
      <c r="Q14" s="292">
        <f t="shared" si="15"/>
        <v>3462.9799999999996</v>
      </c>
      <c r="R14" s="875">
        <f>[1]Субсидия_факт!CZ16</f>
        <v>0</v>
      </c>
      <c r="S14" s="1397">
        <f t="shared" si="4"/>
        <v>0</v>
      </c>
      <c r="T14" s="1073">
        <f>[1]Субсидия_факт!FB16</f>
        <v>0</v>
      </c>
      <c r="U14" s="1360"/>
      <c r="V14" s="1357">
        <f t="shared" si="16"/>
        <v>0</v>
      </c>
      <c r="W14" s="1357">
        <f t="shared" si="17"/>
        <v>0</v>
      </c>
      <c r="X14" s="1358">
        <f>[1]Субсидия_факт!FD16</f>
        <v>0</v>
      </c>
      <c r="Y14" s="1369"/>
      <c r="Z14" s="151">
        <f>[1]Субсидия_факт!FN16</f>
        <v>0</v>
      </c>
      <c r="AA14" s="753"/>
      <c r="AB14" s="292">
        <f t="shared" si="18"/>
        <v>0</v>
      </c>
      <c r="AC14" s="292">
        <f t="shared" si="19"/>
        <v>0</v>
      </c>
      <c r="AD14" s="875">
        <f>[1]Субсидия_факт!FP16</f>
        <v>0</v>
      </c>
      <c r="AE14" s="294"/>
      <c r="AF14" s="151">
        <f>[1]Субсидия_факт!GT16</f>
        <v>0</v>
      </c>
      <c r="AG14" s="753"/>
      <c r="AH14" s="292">
        <f t="shared" si="20"/>
        <v>0</v>
      </c>
      <c r="AI14" s="292">
        <f t="shared" si="21"/>
        <v>0</v>
      </c>
      <c r="AJ14" s="875">
        <f>[1]Субсидия_факт!GV16</f>
        <v>0</v>
      </c>
      <c r="AK14" s="294"/>
      <c r="AL14" s="151">
        <f>[1]Субсидия_факт!HH16</f>
        <v>0</v>
      </c>
      <c r="AM14" s="753"/>
      <c r="AN14" s="292">
        <f t="shared" si="22"/>
        <v>0</v>
      </c>
      <c r="AO14" s="292">
        <f t="shared" si="23"/>
        <v>0</v>
      </c>
      <c r="AP14" s="875">
        <f>[1]Субсидия_факт!HJ16</f>
        <v>0</v>
      </c>
      <c r="AQ14" s="294"/>
      <c r="AR14" s="151">
        <f>[1]Субсидия_факт!IB16</f>
        <v>3400000</v>
      </c>
      <c r="AS14" s="753"/>
      <c r="AT14" s="292">
        <f t="shared" si="24"/>
        <v>3400000</v>
      </c>
      <c r="AU14" s="292">
        <f t="shared" si="25"/>
        <v>0</v>
      </c>
      <c r="AV14" s="875">
        <f>[1]Субсидия_факт!ID16</f>
        <v>0</v>
      </c>
      <c r="AW14" s="294"/>
      <c r="AX14" s="1073">
        <f>[1]Субсидия_факт!IZ16</f>
        <v>0</v>
      </c>
      <c r="AY14" s="1074"/>
      <c r="AZ14" s="1357">
        <f t="shared" si="26"/>
        <v>0</v>
      </c>
      <c r="BA14" s="1357"/>
      <c r="BB14" s="1358">
        <f>[1]Субсидия_факт!JB16</f>
        <v>0</v>
      </c>
      <c r="BC14" s="1359">
        <f t="shared" si="27"/>
        <v>0</v>
      </c>
      <c r="BD14" s="151">
        <f>[1]Субсидия_факт!JL16</f>
        <v>0</v>
      </c>
      <c r="BE14" s="753"/>
      <c r="BF14" s="292">
        <f t="shared" si="28"/>
        <v>0</v>
      </c>
      <c r="BG14" s="292"/>
      <c r="BH14" s="875">
        <f>[1]Субсидия_факт!JN16</f>
        <v>0</v>
      </c>
      <c r="BI14" s="294"/>
      <c r="BJ14" s="151">
        <f>[1]Субсидия_факт!JR16</f>
        <v>0</v>
      </c>
      <c r="BK14" s="753"/>
      <c r="BL14" s="292">
        <f t="shared" si="29"/>
        <v>0</v>
      </c>
      <c r="BM14" s="292"/>
      <c r="BN14" s="875">
        <f>[1]Субсидия_факт!JT16</f>
        <v>0</v>
      </c>
      <c r="BO14" s="294"/>
      <c r="BP14" s="151">
        <f>[1]Субсидия_факт!JZ16</f>
        <v>0</v>
      </c>
      <c r="BQ14" s="753"/>
      <c r="BR14" s="292">
        <f t="shared" si="30"/>
        <v>0</v>
      </c>
      <c r="BS14" s="292">
        <f t="shared" si="31"/>
        <v>0</v>
      </c>
      <c r="BT14" s="875">
        <f>[1]Субсидия_факт!KB16</f>
        <v>0</v>
      </c>
      <c r="BU14" s="294"/>
      <c r="BV14" s="151">
        <f>[1]Субсидия_факт!KF16</f>
        <v>0</v>
      </c>
      <c r="BW14" s="948"/>
      <c r="BX14" s="292">
        <f t="shared" si="32"/>
        <v>0</v>
      </c>
      <c r="BY14" s="292">
        <f t="shared" si="33"/>
        <v>0</v>
      </c>
      <c r="BZ14" s="875">
        <f>[1]Субсидия_факт!KH16</f>
        <v>0</v>
      </c>
      <c r="CA14" s="294"/>
      <c r="CB14" s="151">
        <f>[1]Субсидия_факт!KX16</f>
        <v>499692.81</v>
      </c>
      <c r="CC14" s="948">
        <f t="shared" si="5"/>
        <v>499692.81</v>
      </c>
      <c r="CD14" s="292">
        <f t="shared" si="34"/>
        <v>499692.81</v>
      </c>
      <c r="CE14" s="292">
        <f t="shared" si="35"/>
        <v>499692.81</v>
      </c>
      <c r="CF14" s="875">
        <f>[1]Субсидия_факт!KZ16</f>
        <v>0</v>
      </c>
      <c r="CG14" s="1397">
        <f t="shared" si="36"/>
        <v>0</v>
      </c>
      <c r="CH14" s="151">
        <f>[1]Субсидия_факт!LD16</f>
        <v>5290443</v>
      </c>
      <c r="CI14" s="753">
        <v>5033076.59</v>
      </c>
      <c r="CJ14" s="292">
        <f t="shared" si="38"/>
        <v>5290443</v>
      </c>
      <c r="CK14" s="292">
        <f t="shared" si="39"/>
        <v>5033076.59</v>
      </c>
      <c r="CL14" s="875">
        <f>[1]Субсидия_факт!LF16</f>
        <v>0</v>
      </c>
      <c r="CM14" s="1397">
        <f t="shared" si="40"/>
        <v>0</v>
      </c>
    </row>
    <row r="15" spans="1:91" s="152" customFormat="1" ht="21" customHeight="1" x14ac:dyDescent="0.3">
      <c r="A15" s="147" t="s">
        <v>86</v>
      </c>
      <c r="B15" s="148">
        <f t="shared" si="6"/>
        <v>10041441.99</v>
      </c>
      <c r="C15" s="148">
        <f t="shared" si="7"/>
        <v>2047071.0399999998</v>
      </c>
      <c r="D15" s="501">
        <f t="shared" si="8"/>
        <v>9394519.1899999995</v>
      </c>
      <c r="E15" s="501">
        <f t="shared" si="9"/>
        <v>1946523.2399999998</v>
      </c>
      <c r="F15" s="501">
        <f t="shared" si="10"/>
        <v>646922.80000000005</v>
      </c>
      <c r="G15" s="501">
        <f t="shared" si="11"/>
        <v>100547.79999999999</v>
      </c>
      <c r="H15" s="151">
        <f>[1]Субсидия_факт!DJ17</f>
        <v>31649.429999999993</v>
      </c>
      <c r="I15" s="948">
        <f t="shared" si="1"/>
        <v>31649.429999999993</v>
      </c>
      <c r="J15" s="292">
        <f t="shared" si="12"/>
        <v>0</v>
      </c>
      <c r="K15" s="292">
        <f t="shared" si="13"/>
        <v>0</v>
      </c>
      <c r="L15" s="875">
        <f>[1]Субсидия_факт!DL17</f>
        <v>31649.429999999993</v>
      </c>
      <c r="M15" s="1397">
        <f t="shared" si="2"/>
        <v>31649.429999999993</v>
      </c>
      <c r="N15" s="151">
        <f>[1]Субсидия_факт!CX17</f>
        <v>0</v>
      </c>
      <c r="O15" s="948">
        <f t="shared" si="3"/>
        <v>0</v>
      </c>
      <c r="P15" s="292">
        <f t="shared" si="14"/>
        <v>0</v>
      </c>
      <c r="Q15" s="292">
        <f t="shared" si="15"/>
        <v>0</v>
      </c>
      <c r="R15" s="875">
        <f>[1]Субсидия_факт!CZ17</f>
        <v>0</v>
      </c>
      <c r="S15" s="1397">
        <f t="shared" si="4"/>
        <v>0</v>
      </c>
      <c r="T15" s="1073">
        <f>[1]Субсидия_факт!FB17</f>
        <v>0</v>
      </c>
      <c r="U15" s="1360"/>
      <c r="V15" s="1357">
        <f t="shared" si="16"/>
        <v>0</v>
      </c>
      <c r="W15" s="1357">
        <f t="shared" si="17"/>
        <v>0</v>
      </c>
      <c r="X15" s="1358">
        <f>[1]Субсидия_факт!FD17</f>
        <v>0</v>
      </c>
      <c r="Y15" s="1369"/>
      <c r="Z15" s="151">
        <f>[1]Субсидия_факт!FN17</f>
        <v>3180112</v>
      </c>
      <c r="AA15" s="753">
        <v>844388.57</v>
      </c>
      <c r="AB15" s="292">
        <f t="shared" si="18"/>
        <v>3180112</v>
      </c>
      <c r="AC15" s="292">
        <f t="shared" si="19"/>
        <v>844388.57</v>
      </c>
      <c r="AD15" s="875">
        <f>[1]Субсидия_факт!FP17</f>
        <v>0</v>
      </c>
      <c r="AE15" s="294"/>
      <c r="AF15" s="151">
        <f>[1]Субсидия_факт!GT17</f>
        <v>0</v>
      </c>
      <c r="AG15" s="753"/>
      <c r="AH15" s="292">
        <f t="shared" si="20"/>
        <v>0</v>
      </c>
      <c r="AI15" s="292">
        <f t="shared" si="21"/>
        <v>0</v>
      </c>
      <c r="AJ15" s="875">
        <f>[1]Субсидия_факт!GV17</f>
        <v>0</v>
      </c>
      <c r="AK15" s="294"/>
      <c r="AL15" s="151">
        <f>[1]Субсидия_факт!HH17</f>
        <v>0</v>
      </c>
      <c r="AM15" s="753"/>
      <c r="AN15" s="292">
        <f t="shared" si="22"/>
        <v>0</v>
      </c>
      <c r="AO15" s="292">
        <f t="shared" si="23"/>
        <v>0</v>
      </c>
      <c r="AP15" s="875">
        <f>[1]Субсидия_факт!HJ17</f>
        <v>0</v>
      </c>
      <c r="AQ15" s="294"/>
      <c r="AR15" s="151">
        <f>[1]Субсидия_факт!IB17</f>
        <v>5000000</v>
      </c>
      <c r="AS15" s="753"/>
      <c r="AT15" s="292">
        <f t="shared" si="24"/>
        <v>5000000</v>
      </c>
      <c r="AU15" s="292">
        <f t="shared" si="25"/>
        <v>0</v>
      </c>
      <c r="AV15" s="875">
        <f>[1]Субсидия_факт!ID17</f>
        <v>0</v>
      </c>
      <c r="AW15" s="294"/>
      <c r="AX15" s="1073">
        <f>[1]Субсидия_факт!IZ17</f>
        <v>0</v>
      </c>
      <c r="AY15" s="1074"/>
      <c r="AZ15" s="1357">
        <f t="shared" si="26"/>
        <v>0</v>
      </c>
      <c r="BA15" s="1357"/>
      <c r="BB15" s="1358">
        <f>[1]Субсидия_факт!JB17</f>
        <v>0</v>
      </c>
      <c r="BC15" s="1359">
        <f t="shared" si="27"/>
        <v>0</v>
      </c>
      <c r="BD15" s="151">
        <f>[1]Субсидия_факт!JL17</f>
        <v>0</v>
      </c>
      <c r="BE15" s="753"/>
      <c r="BF15" s="292">
        <f t="shared" si="28"/>
        <v>0</v>
      </c>
      <c r="BG15" s="292"/>
      <c r="BH15" s="875">
        <f>[1]Субсидия_факт!JN17</f>
        <v>0</v>
      </c>
      <c r="BI15" s="294"/>
      <c r="BJ15" s="151">
        <f>[1]Субсидия_факт!JR17</f>
        <v>0</v>
      </c>
      <c r="BK15" s="753"/>
      <c r="BL15" s="292">
        <f t="shared" si="29"/>
        <v>0</v>
      </c>
      <c r="BM15" s="292"/>
      <c r="BN15" s="875">
        <f>[1]Субсидия_факт!JT17</f>
        <v>0</v>
      </c>
      <c r="BO15" s="294"/>
      <c r="BP15" s="151">
        <f>[1]Субсидия_факт!JZ17</f>
        <v>0</v>
      </c>
      <c r="BQ15" s="753"/>
      <c r="BR15" s="292">
        <f t="shared" si="30"/>
        <v>0</v>
      </c>
      <c r="BS15" s="292">
        <f t="shared" si="31"/>
        <v>0</v>
      </c>
      <c r="BT15" s="875">
        <f>[1]Субсидия_факт!KB17</f>
        <v>0</v>
      </c>
      <c r="BU15" s="294"/>
      <c r="BV15" s="151">
        <f>[1]Субсидия_факт!KF17</f>
        <v>546375</v>
      </c>
      <c r="BW15" s="948"/>
      <c r="BX15" s="292">
        <f t="shared" si="32"/>
        <v>0</v>
      </c>
      <c r="BY15" s="292">
        <f t="shared" si="33"/>
        <v>0</v>
      </c>
      <c r="BZ15" s="875">
        <f>[1]Субсидия_факт!KH17</f>
        <v>546375</v>
      </c>
      <c r="CA15" s="294"/>
      <c r="CB15" s="151">
        <f>[1]Субсидия_факт!KX17</f>
        <v>534821.55999999994</v>
      </c>
      <c r="CC15" s="948">
        <f t="shared" si="5"/>
        <v>534821.55999999994</v>
      </c>
      <c r="CD15" s="292">
        <f t="shared" si="34"/>
        <v>465923.18999999994</v>
      </c>
      <c r="CE15" s="292">
        <f t="shared" si="35"/>
        <v>465923.18999999994</v>
      </c>
      <c r="CF15" s="875">
        <f>[1]Субсидия_факт!KZ17</f>
        <v>68898.37</v>
      </c>
      <c r="CG15" s="1397">
        <f t="shared" si="36"/>
        <v>68898.37</v>
      </c>
      <c r="CH15" s="151">
        <f>[1]Субсидия_факт!LD17</f>
        <v>748484</v>
      </c>
      <c r="CI15" s="753">
        <v>636211.48</v>
      </c>
      <c r="CJ15" s="292">
        <f t="shared" si="38"/>
        <v>748484</v>
      </c>
      <c r="CK15" s="292">
        <f t="shared" si="39"/>
        <v>636211.48</v>
      </c>
      <c r="CL15" s="875">
        <f>[1]Субсидия_факт!LF17</f>
        <v>0</v>
      </c>
      <c r="CM15" s="1397">
        <f t="shared" si="40"/>
        <v>0</v>
      </c>
    </row>
    <row r="16" spans="1:91" s="152" customFormat="1" ht="21" customHeight="1" x14ac:dyDescent="0.3">
      <c r="A16" s="147" t="s">
        <v>87</v>
      </c>
      <c r="B16" s="148">
        <f t="shared" si="6"/>
        <v>11602393.190000001</v>
      </c>
      <c r="C16" s="148">
        <f t="shared" si="7"/>
        <v>3738121.19</v>
      </c>
      <c r="D16" s="501">
        <f t="shared" si="8"/>
        <v>11602393.190000001</v>
      </c>
      <c r="E16" s="501">
        <f t="shared" si="9"/>
        <v>3738121.19</v>
      </c>
      <c r="F16" s="501">
        <f t="shared" si="10"/>
        <v>0</v>
      </c>
      <c r="G16" s="501">
        <f t="shared" si="11"/>
        <v>0</v>
      </c>
      <c r="H16" s="151">
        <f>[1]Субсидия_факт!DJ18</f>
        <v>0</v>
      </c>
      <c r="I16" s="948">
        <f t="shared" si="1"/>
        <v>0</v>
      </c>
      <c r="J16" s="292">
        <f t="shared" si="12"/>
        <v>0</v>
      </c>
      <c r="K16" s="292">
        <f t="shared" si="13"/>
        <v>0</v>
      </c>
      <c r="L16" s="875">
        <f>[1]Субсидия_факт!DL18</f>
        <v>0</v>
      </c>
      <c r="M16" s="1397">
        <f t="shared" si="2"/>
        <v>0</v>
      </c>
      <c r="N16" s="151">
        <f>[1]Субсидия_факт!CX18</f>
        <v>0</v>
      </c>
      <c r="O16" s="948">
        <f t="shared" si="3"/>
        <v>0</v>
      </c>
      <c r="P16" s="292">
        <f t="shared" si="14"/>
        <v>0</v>
      </c>
      <c r="Q16" s="292">
        <f t="shared" si="15"/>
        <v>0</v>
      </c>
      <c r="R16" s="875">
        <f>[1]Субсидия_факт!CZ18</f>
        <v>0</v>
      </c>
      <c r="S16" s="1397">
        <f t="shared" si="4"/>
        <v>0</v>
      </c>
      <c r="T16" s="1073">
        <f>[1]Субсидия_факт!FB18</f>
        <v>0</v>
      </c>
      <c r="U16" s="1360"/>
      <c r="V16" s="1357">
        <f t="shared" si="16"/>
        <v>0</v>
      </c>
      <c r="W16" s="1357">
        <f t="shared" si="17"/>
        <v>0</v>
      </c>
      <c r="X16" s="1358">
        <f>[1]Субсидия_факт!FD18</f>
        <v>0</v>
      </c>
      <c r="Y16" s="1369"/>
      <c r="Z16" s="151">
        <f>[1]Субсидия_факт!FN18</f>
        <v>5364472</v>
      </c>
      <c r="AA16" s="753"/>
      <c r="AB16" s="292">
        <f t="shared" si="18"/>
        <v>5364472</v>
      </c>
      <c r="AC16" s="292">
        <f t="shared" si="19"/>
        <v>0</v>
      </c>
      <c r="AD16" s="875">
        <f>[1]Субсидия_факт!FP18</f>
        <v>0</v>
      </c>
      <c r="AE16" s="294"/>
      <c r="AF16" s="151">
        <f>[1]Субсидия_факт!GT18</f>
        <v>0</v>
      </c>
      <c r="AG16" s="753"/>
      <c r="AH16" s="292">
        <f t="shared" si="20"/>
        <v>0</v>
      </c>
      <c r="AI16" s="292">
        <f t="shared" si="21"/>
        <v>0</v>
      </c>
      <c r="AJ16" s="875">
        <f>[1]Субсидия_факт!GV18</f>
        <v>0</v>
      </c>
      <c r="AK16" s="294"/>
      <c r="AL16" s="151">
        <f>[1]Субсидия_факт!HH18</f>
        <v>0</v>
      </c>
      <c r="AM16" s="753"/>
      <c r="AN16" s="292">
        <f t="shared" si="22"/>
        <v>0</v>
      </c>
      <c r="AO16" s="292">
        <f t="shared" si="23"/>
        <v>0</v>
      </c>
      <c r="AP16" s="875">
        <f>[1]Субсидия_факт!HJ18</f>
        <v>0</v>
      </c>
      <c r="AQ16" s="294"/>
      <c r="AR16" s="151">
        <f>[1]Субсидия_факт!IB18</f>
        <v>2499800</v>
      </c>
      <c r="AS16" s="753"/>
      <c r="AT16" s="292">
        <f t="shared" si="24"/>
        <v>2499800</v>
      </c>
      <c r="AU16" s="292">
        <f t="shared" si="25"/>
        <v>0</v>
      </c>
      <c r="AV16" s="875">
        <f>[1]Субсидия_факт!ID18</f>
        <v>0</v>
      </c>
      <c r="AW16" s="294"/>
      <c r="AX16" s="1073">
        <f>[1]Субсидия_факт!IZ18</f>
        <v>0</v>
      </c>
      <c r="AY16" s="1074"/>
      <c r="AZ16" s="1357">
        <f t="shared" si="26"/>
        <v>0</v>
      </c>
      <c r="BA16" s="1357"/>
      <c r="BB16" s="1358">
        <f>[1]Субсидия_факт!JB18</f>
        <v>0</v>
      </c>
      <c r="BC16" s="1359">
        <f t="shared" si="27"/>
        <v>0</v>
      </c>
      <c r="BD16" s="151">
        <f>[1]Субсидия_факт!JL18</f>
        <v>0</v>
      </c>
      <c r="BE16" s="753"/>
      <c r="BF16" s="292">
        <f t="shared" si="28"/>
        <v>0</v>
      </c>
      <c r="BG16" s="292"/>
      <c r="BH16" s="875">
        <f>[1]Субсидия_факт!JN18</f>
        <v>0</v>
      </c>
      <c r="BI16" s="294"/>
      <c r="BJ16" s="151">
        <f>[1]Субсидия_факт!JR18</f>
        <v>0</v>
      </c>
      <c r="BK16" s="753"/>
      <c r="BL16" s="292">
        <f t="shared" si="29"/>
        <v>0</v>
      </c>
      <c r="BM16" s="292"/>
      <c r="BN16" s="875">
        <f>[1]Субсидия_факт!JT18</f>
        <v>0</v>
      </c>
      <c r="BO16" s="294"/>
      <c r="BP16" s="151">
        <f>[1]Субсидия_факт!JZ18</f>
        <v>0</v>
      </c>
      <c r="BQ16" s="753"/>
      <c r="BR16" s="292">
        <f t="shared" si="30"/>
        <v>0</v>
      </c>
      <c r="BS16" s="292">
        <f t="shared" si="31"/>
        <v>0</v>
      </c>
      <c r="BT16" s="875">
        <f>[1]Субсидия_факт!KB18</f>
        <v>0</v>
      </c>
      <c r="BU16" s="294"/>
      <c r="BV16" s="151">
        <f>[1]Субсидия_факт!KF18</f>
        <v>0</v>
      </c>
      <c r="BW16" s="948"/>
      <c r="BX16" s="292">
        <f t="shared" si="32"/>
        <v>0</v>
      </c>
      <c r="BY16" s="292">
        <f t="shared" si="33"/>
        <v>0</v>
      </c>
      <c r="BZ16" s="875">
        <f>[1]Субсидия_факт!KH18</f>
        <v>0</v>
      </c>
      <c r="CA16" s="294"/>
      <c r="CB16" s="151">
        <f>[1]Субсидия_факт!KX18</f>
        <v>562391.19000000006</v>
      </c>
      <c r="CC16" s="948">
        <f t="shared" si="5"/>
        <v>562391.19000000006</v>
      </c>
      <c r="CD16" s="292">
        <f t="shared" si="34"/>
        <v>562391.19000000006</v>
      </c>
      <c r="CE16" s="292">
        <f t="shared" si="35"/>
        <v>562391.19000000006</v>
      </c>
      <c r="CF16" s="875">
        <f>[1]Субсидия_факт!KZ18</f>
        <v>0</v>
      </c>
      <c r="CG16" s="1397">
        <f t="shared" si="36"/>
        <v>0</v>
      </c>
      <c r="CH16" s="151">
        <f>[1]Субсидия_факт!LD18</f>
        <v>3175730</v>
      </c>
      <c r="CI16" s="948">
        <f t="shared" si="37"/>
        <v>3175730</v>
      </c>
      <c r="CJ16" s="292">
        <f t="shared" si="38"/>
        <v>3175730</v>
      </c>
      <c r="CK16" s="292">
        <f t="shared" si="39"/>
        <v>3175730</v>
      </c>
      <c r="CL16" s="875">
        <f>[1]Субсидия_факт!LF18</f>
        <v>0</v>
      </c>
      <c r="CM16" s="1397">
        <f t="shared" si="40"/>
        <v>0</v>
      </c>
    </row>
    <row r="17" spans="1:91" s="152" customFormat="1" ht="21" customHeight="1" x14ac:dyDescent="0.3">
      <c r="A17" s="147" t="s">
        <v>88</v>
      </c>
      <c r="B17" s="148">
        <f t="shared" si="6"/>
        <v>4555272.76</v>
      </c>
      <c r="C17" s="148">
        <f t="shared" si="7"/>
        <v>2038916.8</v>
      </c>
      <c r="D17" s="501">
        <f t="shared" si="8"/>
        <v>4555272.76</v>
      </c>
      <c r="E17" s="501">
        <f t="shared" si="9"/>
        <v>2038916.8</v>
      </c>
      <c r="F17" s="501">
        <f t="shared" si="10"/>
        <v>0</v>
      </c>
      <c r="G17" s="501">
        <f t="shared" si="11"/>
        <v>0</v>
      </c>
      <c r="H17" s="151">
        <f>[1]Субсидия_факт!DJ19</f>
        <v>0</v>
      </c>
      <c r="I17" s="948">
        <f t="shared" si="1"/>
        <v>0</v>
      </c>
      <c r="J17" s="292">
        <f t="shared" si="12"/>
        <v>0</v>
      </c>
      <c r="K17" s="292">
        <f t="shared" si="13"/>
        <v>0</v>
      </c>
      <c r="L17" s="875">
        <f>[1]Субсидия_факт!DL19</f>
        <v>0</v>
      </c>
      <c r="M17" s="1397">
        <f t="shared" si="2"/>
        <v>0</v>
      </c>
      <c r="N17" s="151">
        <f>[1]Субсидия_факт!CX19</f>
        <v>6233.38</v>
      </c>
      <c r="O17" s="948">
        <f t="shared" si="3"/>
        <v>6233.38</v>
      </c>
      <c r="P17" s="292">
        <f t="shared" si="14"/>
        <v>6233.38</v>
      </c>
      <c r="Q17" s="292">
        <f t="shared" si="15"/>
        <v>6233.38</v>
      </c>
      <c r="R17" s="875">
        <f>[1]Субсидия_факт!CZ19</f>
        <v>0</v>
      </c>
      <c r="S17" s="1397">
        <f t="shared" si="4"/>
        <v>0</v>
      </c>
      <c r="T17" s="1073">
        <f>[1]Субсидия_факт!FB19</f>
        <v>0</v>
      </c>
      <c r="U17" s="1360"/>
      <c r="V17" s="1357">
        <f t="shared" si="16"/>
        <v>0</v>
      </c>
      <c r="W17" s="1357">
        <f t="shared" si="17"/>
        <v>0</v>
      </c>
      <c r="X17" s="1358">
        <f>[1]Субсидия_факт!FD19</f>
        <v>0</v>
      </c>
      <c r="Y17" s="1369"/>
      <c r="Z17" s="151">
        <f>[1]Субсидия_факт!FN19</f>
        <v>0</v>
      </c>
      <c r="AA17" s="753"/>
      <c r="AB17" s="292">
        <f t="shared" si="18"/>
        <v>0</v>
      </c>
      <c r="AC17" s="292">
        <f t="shared" si="19"/>
        <v>0</v>
      </c>
      <c r="AD17" s="875">
        <f>[1]Субсидия_факт!FP19</f>
        <v>0</v>
      </c>
      <c r="AE17" s="294"/>
      <c r="AF17" s="151">
        <f>[1]Субсидия_факт!GT19</f>
        <v>0</v>
      </c>
      <c r="AG17" s="753"/>
      <c r="AH17" s="292">
        <f t="shared" si="20"/>
        <v>0</v>
      </c>
      <c r="AI17" s="292">
        <f t="shared" si="21"/>
        <v>0</v>
      </c>
      <c r="AJ17" s="875">
        <f>[1]Субсидия_факт!GV19</f>
        <v>0</v>
      </c>
      <c r="AK17" s="294"/>
      <c r="AL17" s="151">
        <f>[1]Субсидия_факт!HH19</f>
        <v>0</v>
      </c>
      <c r="AM17" s="753"/>
      <c r="AN17" s="292">
        <f t="shared" si="22"/>
        <v>0</v>
      </c>
      <c r="AO17" s="292">
        <f t="shared" si="23"/>
        <v>0</v>
      </c>
      <c r="AP17" s="875">
        <f>[1]Субсидия_факт!HJ19</f>
        <v>0</v>
      </c>
      <c r="AQ17" s="294"/>
      <c r="AR17" s="151">
        <f>[1]Субсидия_факт!IB19</f>
        <v>2000000</v>
      </c>
      <c r="AS17" s="753"/>
      <c r="AT17" s="292">
        <f t="shared" si="24"/>
        <v>2000000</v>
      </c>
      <c r="AU17" s="292">
        <f t="shared" si="25"/>
        <v>0</v>
      </c>
      <c r="AV17" s="875">
        <f>[1]Субсидия_факт!ID19</f>
        <v>0</v>
      </c>
      <c r="AW17" s="294"/>
      <c r="AX17" s="1073">
        <f>[1]Субсидия_факт!IZ19</f>
        <v>0</v>
      </c>
      <c r="AY17" s="1074"/>
      <c r="AZ17" s="1357">
        <f t="shared" si="26"/>
        <v>0</v>
      </c>
      <c r="BA17" s="1357"/>
      <c r="BB17" s="1358">
        <f>[1]Субсидия_факт!JB19</f>
        <v>0</v>
      </c>
      <c r="BC17" s="1359">
        <f t="shared" si="27"/>
        <v>0</v>
      </c>
      <c r="BD17" s="151">
        <f>[1]Субсидия_факт!JL19</f>
        <v>0</v>
      </c>
      <c r="BE17" s="753"/>
      <c r="BF17" s="292">
        <f t="shared" si="28"/>
        <v>0</v>
      </c>
      <c r="BG17" s="292"/>
      <c r="BH17" s="875">
        <f>[1]Субсидия_факт!JN19</f>
        <v>0</v>
      </c>
      <c r="BI17" s="294"/>
      <c r="BJ17" s="151">
        <f>[1]Субсидия_факт!JR19</f>
        <v>0</v>
      </c>
      <c r="BK17" s="753"/>
      <c r="BL17" s="292">
        <f t="shared" si="29"/>
        <v>0</v>
      </c>
      <c r="BM17" s="292"/>
      <c r="BN17" s="875">
        <f>[1]Субсидия_факт!JT19</f>
        <v>0</v>
      </c>
      <c r="BO17" s="294"/>
      <c r="BP17" s="151">
        <f>[1]Субсидия_факт!JZ19</f>
        <v>0</v>
      </c>
      <c r="BQ17" s="753"/>
      <c r="BR17" s="292">
        <f t="shared" si="30"/>
        <v>0</v>
      </c>
      <c r="BS17" s="292">
        <f t="shared" si="31"/>
        <v>0</v>
      </c>
      <c r="BT17" s="875">
        <f>[1]Субсидия_факт!KB19</f>
        <v>0</v>
      </c>
      <c r="BU17" s="294"/>
      <c r="BV17" s="151">
        <f>[1]Субсидия_факт!KF19</f>
        <v>0</v>
      </c>
      <c r="BW17" s="948"/>
      <c r="BX17" s="292">
        <f t="shared" si="32"/>
        <v>0</v>
      </c>
      <c r="BY17" s="292">
        <f t="shared" si="33"/>
        <v>0</v>
      </c>
      <c r="BZ17" s="875">
        <f>[1]Субсидия_факт!KH19</f>
        <v>0</v>
      </c>
      <c r="CA17" s="294"/>
      <c r="CB17" s="151">
        <f>[1]Субсидия_факт!KX19</f>
        <v>301845.38</v>
      </c>
      <c r="CC17" s="948">
        <f t="shared" si="5"/>
        <v>301845.38</v>
      </c>
      <c r="CD17" s="292">
        <f t="shared" si="34"/>
        <v>301845.38</v>
      </c>
      <c r="CE17" s="292">
        <f t="shared" si="35"/>
        <v>301845.38</v>
      </c>
      <c r="CF17" s="875">
        <f>[1]Субсидия_факт!KZ19</f>
        <v>0</v>
      </c>
      <c r="CG17" s="1397">
        <f t="shared" si="36"/>
        <v>0</v>
      </c>
      <c r="CH17" s="151">
        <f>[1]Субсидия_факт!LD19</f>
        <v>2247194</v>
      </c>
      <c r="CI17" s="753">
        <v>1730838.04</v>
      </c>
      <c r="CJ17" s="292">
        <f t="shared" si="38"/>
        <v>2247194</v>
      </c>
      <c r="CK17" s="292">
        <f t="shared" si="39"/>
        <v>1730838.04</v>
      </c>
      <c r="CL17" s="875">
        <f>[1]Субсидия_факт!LF19</f>
        <v>0</v>
      </c>
      <c r="CM17" s="1397">
        <f t="shared" si="40"/>
        <v>0</v>
      </c>
    </row>
    <row r="18" spans="1:91" s="152" customFormat="1" ht="21" customHeight="1" x14ac:dyDescent="0.3">
      <c r="A18" s="147" t="s">
        <v>89</v>
      </c>
      <c r="B18" s="148">
        <f t="shared" si="6"/>
        <v>22199942.210000001</v>
      </c>
      <c r="C18" s="148">
        <f t="shared" si="7"/>
        <v>5278814.9000000004</v>
      </c>
      <c r="D18" s="501">
        <f t="shared" si="8"/>
        <v>8850318.75</v>
      </c>
      <c r="E18" s="501">
        <f t="shared" si="9"/>
        <v>2860763.25</v>
      </c>
      <c r="F18" s="501">
        <f t="shared" si="10"/>
        <v>13349623.460000001</v>
      </c>
      <c r="G18" s="501">
        <f t="shared" si="11"/>
        <v>2418051.65</v>
      </c>
      <c r="H18" s="151">
        <f>[1]Субсидия_факт!DJ20</f>
        <v>0</v>
      </c>
      <c r="I18" s="948">
        <f t="shared" si="1"/>
        <v>0</v>
      </c>
      <c r="J18" s="292">
        <f t="shared" si="12"/>
        <v>0</v>
      </c>
      <c r="K18" s="292">
        <f t="shared" si="13"/>
        <v>0</v>
      </c>
      <c r="L18" s="875">
        <f>[1]Субсидия_факт!DL20</f>
        <v>0</v>
      </c>
      <c r="M18" s="1397">
        <f t="shared" si="2"/>
        <v>0</v>
      </c>
      <c r="N18" s="151">
        <f>[1]Субсидия_факт!CX20</f>
        <v>10968.460000000001</v>
      </c>
      <c r="O18" s="948">
        <f t="shared" si="3"/>
        <v>10968.460000000001</v>
      </c>
      <c r="P18" s="292">
        <f t="shared" si="14"/>
        <v>0</v>
      </c>
      <c r="Q18" s="292">
        <f t="shared" si="15"/>
        <v>0</v>
      </c>
      <c r="R18" s="875">
        <f>[1]Субсидия_факт!CZ20</f>
        <v>10968.46</v>
      </c>
      <c r="S18" s="1397">
        <f>R18</f>
        <v>10968.46</v>
      </c>
      <c r="T18" s="1073">
        <f>[1]Субсидия_факт!FB20</f>
        <v>1287560</v>
      </c>
      <c r="U18" s="1360"/>
      <c r="V18" s="1357">
        <f t="shared" si="16"/>
        <v>1287560</v>
      </c>
      <c r="W18" s="1357">
        <f t="shared" si="17"/>
        <v>0</v>
      </c>
      <c r="X18" s="1358">
        <f>[1]Субсидия_факт!FD20</f>
        <v>0</v>
      </c>
      <c r="Y18" s="1369"/>
      <c r="Z18" s="151">
        <f>[1]Субсидия_факт!FN20</f>
        <v>0</v>
      </c>
      <c r="AA18" s="753"/>
      <c r="AB18" s="292">
        <f t="shared" si="18"/>
        <v>0</v>
      </c>
      <c r="AC18" s="292">
        <f t="shared" si="19"/>
        <v>0</v>
      </c>
      <c r="AD18" s="875">
        <f>[1]Субсидия_факт!FP20</f>
        <v>0</v>
      </c>
      <c r="AE18" s="294"/>
      <c r="AF18" s="151">
        <f>[1]Субсидия_факт!GT20</f>
        <v>0</v>
      </c>
      <c r="AG18" s="753"/>
      <c r="AH18" s="292">
        <f t="shared" si="20"/>
        <v>0</v>
      </c>
      <c r="AI18" s="292">
        <f t="shared" si="21"/>
        <v>0</v>
      </c>
      <c r="AJ18" s="875">
        <f>[1]Субсидия_факт!GV20</f>
        <v>0</v>
      </c>
      <c r="AK18" s="294"/>
      <c r="AL18" s="151">
        <f>[1]Субсидия_факт!HH20</f>
        <v>0</v>
      </c>
      <c r="AM18" s="753"/>
      <c r="AN18" s="292">
        <f t="shared" si="22"/>
        <v>0</v>
      </c>
      <c r="AO18" s="292">
        <f t="shared" si="23"/>
        <v>0</v>
      </c>
      <c r="AP18" s="875">
        <f>[1]Субсидия_факт!HJ20</f>
        <v>0</v>
      </c>
      <c r="AQ18" s="294"/>
      <c r="AR18" s="151">
        <f>[1]Субсидия_факт!IB20</f>
        <v>11095083.5</v>
      </c>
      <c r="AS18" s="753">
        <v>183509.98</v>
      </c>
      <c r="AT18" s="292">
        <f t="shared" si="24"/>
        <v>1060000</v>
      </c>
      <c r="AU18" s="292">
        <f t="shared" si="25"/>
        <v>0</v>
      </c>
      <c r="AV18" s="875">
        <f>[1]Субсидия_факт!ID20</f>
        <v>10035083.5</v>
      </c>
      <c r="AW18" s="294">
        <v>183509.98</v>
      </c>
      <c r="AX18" s="1073">
        <f>[1]Субсидия_факт!IZ20</f>
        <v>2098391.65</v>
      </c>
      <c r="AY18" s="1360">
        <v>2098391.65</v>
      </c>
      <c r="AZ18" s="1357">
        <f t="shared" si="26"/>
        <v>0</v>
      </c>
      <c r="BA18" s="1357"/>
      <c r="BB18" s="1358">
        <f>[1]Субсидия_факт!JB20</f>
        <v>2098391.65</v>
      </c>
      <c r="BC18" s="1359">
        <f t="shared" si="27"/>
        <v>2098391.65</v>
      </c>
      <c r="BD18" s="151">
        <f>[1]Субсидия_факт!JL20</f>
        <v>609998.29</v>
      </c>
      <c r="BE18" s="753"/>
      <c r="BF18" s="292">
        <f t="shared" si="28"/>
        <v>0</v>
      </c>
      <c r="BG18" s="292"/>
      <c r="BH18" s="875">
        <f>[1]Субсидия_факт!JN20</f>
        <v>609998.29</v>
      </c>
      <c r="BI18" s="294"/>
      <c r="BJ18" s="151">
        <f>[1]Субсидия_факт!JR20</f>
        <v>0</v>
      </c>
      <c r="BK18" s="753"/>
      <c r="BL18" s="292">
        <f t="shared" si="29"/>
        <v>0</v>
      </c>
      <c r="BM18" s="292"/>
      <c r="BN18" s="875">
        <f>[1]Субсидия_факт!JT20</f>
        <v>0</v>
      </c>
      <c r="BO18" s="294"/>
      <c r="BP18" s="151">
        <f>[1]Субсидия_факт!JZ20</f>
        <v>3000000</v>
      </c>
      <c r="BQ18" s="753"/>
      <c r="BR18" s="292">
        <f t="shared" si="30"/>
        <v>3000000</v>
      </c>
      <c r="BS18" s="292">
        <f t="shared" si="31"/>
        <v>0</v>
      </c>
      <c r="BT18" s="875">
        <f>[1]Субсидия_факт!KB20</f>
        <v>0</v>
      </c>
      <c r="BU18" s="294"/>
      <c r="BV18" s="151">
        <f>[1]Субсидия_факт!KF20</f>
        <v>470000</v>
      </c>
      <c r="BW18" s="948"/>
      <c r="BX18" s="292">
        <f t="shared" si="32"/>
        <v>0</v>
      </c>
      <c r="BY18" s="292">
        <f t="shared" si="33"/>
        <v>0</v>
      </c>
      <c r="BZ18" s="875">
        <f>[1]Субсидия_факт!KH20</f>
        <v>470000</v>
      </c>
      <c r="CA18" s="294"/>
      <c r="CB18" s="151">
        <f>[1]Субсидия_факт!KX20</f>
        <v>574007.31000000006</v>
      </c>
      <c r="CC18" s="948">
        <f t="shared" si="5"/>
        <v>574007.31000000006</v>
      </c>
      <c r="CD18" s="292">
        <f t="shared" si="34"/>
        <v>448825.75000000006</v>
      </c>
      <c r="CE18" s="292">
        <f t="shared" si="35"/>
        <v>448825.75000000006</v>
      </c>
      <c r="CF18" s="875">
        <f>[1]Субсидия_факт!KZ20</f>
        <v>125181.56</v>
      </c>
      <c r="CG18" s="1397">
        <f t="shared" si="36"/>
        <v>125181.56</v>
      </c>
      <c r="CH18" s="151">
        <f>[1]Субсидия_факт!LD20</f>
        <v>3053933</v>
      </c>
      <c r="CI18" s="753">
        <v>2411937.5</v>
      </c>
      <c r="CJ18" s="292">
        <f t="shared" si="38"/>
        <v>3053933</v>
      </c>
      <c r="CK18" s="292">
        <f t="shared" si="39"/>
        <v>2411937.5</v>
      </c>
      <c r="CL18" s="875">
        <f>[1]Субсидия_факт!LF20</f>
        <v>0</v>
      </c>
      <c r="CM18" s="1397">
        <f t="shared" si="40"/>
        <v>0</v>
      </c>
    </row>
    <row r="19" spans="1:91" s="152" customFormat="1" ht="21" customHeight="1" x14ac:dyDescent="0.3">
      <c r="A19" s="147" t="s">
        <v>90</v>
      </c>
      <c r="B19" s="148">
        <f t="shared" si="6"/>
        <v>2095259.24</v>
      </c>
      <c r="C19" s="148">
        <f t="shared" si="7"/>
        <v>2095259.24</v>
      </c>
      <c r="D19" s="501">
        <f t="shared" si="8"/>
        <v>2095259.24</v>
      </c>
      <c r="E19" s="501">
        <f t="shared" si="9"/>
        <v>2095259.24</v>
      </c>
      <c r="F19" s="501">
        <f t="shared" si="10"/>
        <v>0</v>
      </c>
      <c r="G19" s="501">
        <f t="shared" si="11"/>
        <v>0</v>
      </c>
      <c r="H19" s="151">
        <f>[1]Субсидия_факт!DJ21</f>
        <v>0</v>
      </c>
      <c r="I19" s="948">
        <f t="shared" si="1"/>
        <v>0</v>
      </c>
      <c r="J19" s="292">
        <f t="shared" si="12"/>
        <v>0</v>
      </c>
      <c r="K19" s="292">
        <f t="shared" si="13"/>
        <v>0</v>
      </c>
      <c r="L19" s="875">
        <f>[1]Субсидия_факт!DL21</f>
        <v>0</v>
      </c>
      <c r="M19" s="1397">
        <f t="shared" si="2"/>
        <v>0</v>
      </c>
      <c r="N19" s="151">
        <f>[1]Субсидия_факт!CX21</f>
        <v>9703.41</v>
      </c>
      <c r="O19" s="948">
        <f t="shared" ref="O19:O25" si="41">N19</f>
        <v>9703.41</v>
      </c>
      <c r="P19" s="292">
        <f t="shared" si="14"/>
        <v>9703.41</v>
      </c>
      <c r="Q19" s="292">
        <f t="shared" si="15"/>
        <v>9703.41</v>
      </c>
      <c r="R19" s="875">
        <f>[1]Субсидия_факт!CZ21</f>
        <v>0</v>
      </c>
      <c r="S19" s="1397">
        <f t="shared" ref="S19:S25" si="42">R19</f>
        <v>0</v>
      </c>
      <c r="T19" s="1073">
        <f>[1]Субсидия_факт!FB21</f>
        <v>0</v>
      </c>
      <c r="U19" s="1360"/>
      <c r="V19" s="1357">
        <f t="shared" si="16"/>
        <v>0</v>
      </c>
      <c r="W19" s="1357">
        <f t="shared" si="17"/>
        <v>0</v>
      </c>
      <c r="X19" s="1358">
        <f>[1]Субсидия_факт!FD21</f>
        <v>0</v>
      </c>
      <c r="Y19" s="1369"/>
      <c r="Z19" s="151">
        <f>[1]Субсидия_факт!FN21</f>
        <v>0</v>
      </c>
      <c r="AA19" s="753"/>
      <c r="AB19" s="292">
        <f t="shared" si="18"/>
        <v>0</v>
      </c>
      <c r="AC19" s="292">
        <f t="shared" si="19"/>
        <v>0</v>
      </c>
      <c r="AD19" s="875">
        <f>[1]Субсидия_факт!FP21</f>
        <v>0</v>
      </c>
      <c r="AE19" s="294"/>
      <c r="AF19" s="151">
        <f>[1]Субсидия_факт!GT21</f>
        <v>0</v>
      </c>
      <c r="AG19" s="753"/>
      <c r="AH19" s="292">
        <f t="shared" si="20"/>
        <v>0</v>
      </c>
      <c r="AI19" s="292">
        <f t="shared" si="21"/>
        <v>0</v>
      </c>
      <c r="AJ19" s="875">
        <f>[1]Субсидия_факт!GV21</f>
        <v>0</v>
      </c>
      <c r="AK19" s="294"/>
      <c r="AL19" s="151">
        <f>[1]Субсидия_факт!HH21</f>
        <v>0</v>
      </c>
      <c r="AM19" s="753"/>
      <c r="AN19" s="292">
        <f t="shared" si="22"/>
        <v>0</v>
      </c>
      <c r="AO19" s="292">
        <f t="shared" si="23"/>
        <v>0</v>
      </c>
      <c r="AP19" s="875">
        <f>[1]Субсидия_факт!HJ21</f>
        <v>0</v>
      </c>
      <c r="AQ19" s="294"/>
      <c r="AR19" s="151">
        <f>[1]Субсидия_факт!IB21</f>
        <v>0</v>
      </c>
      <c r="AS19" s="753"/>
      <c r="AT19" s="292">
        <f t="shared" si="24"/>
        <v>0</v>
      </c>
      <c r="AU19" s="292">
        <f t="shared" si="25"/>
        <v>0</v>
      </c>
      <c r="AV19" s="875">
        <f>[1]Субсидия_факт!ID21</f>
        <v>0</v>
      </c>
      <c r="AW19" s="294"/>
      <c r="AX19" s="1073">
        <f>[1]Субсидия_факт!IZ21</f>
        <v>0</v>
      </c>
      <c r="AY19" s="1074"/>
      <c r="AZ19" s="1357">
        <f t="shared" si="26"/>
        <v>0</v>
      </c>
      <c r="BA19" s="1357"/>
      <c r="BB19" s="1358">
        <f>[1]Субсидия_факт!JB21</f>
        <v>0</v>
      </c>
      <c r="BC19" s="1359">
        <f t="shared" si="27"/>
        <v>0</v>
      </c>
      <c r="BD19" s="151">
        <f>[1]Субсидия_факт!JL21</f>
        <v>0</v>
      </c>
      <c r="BE19" s="753"/>
      <c r="BF19" s="292">
        <f t="shared" si="28"/>
        <v>0</v>
      </c>
      <c r="BG19" s="292"/>
      <c r="BH19" s="875">
        <f>[1]Субсидия_факт!JN21</f>
        <v>0</v>
      </c>
      <c r="BI19" s="294"/>
      <c r="BJ19" s="151">
        <f>[1]Субсидия_факт!JR21</f>
        <v>0</v>
      </c>
      <c r="BK19" s="753"/>
      <c r="BL19" s="292">
        <f t="shared" si="29"/>
        <v>0</v>
      </c>
      <c r="BM19" s="292"/>
      <c r="BN19" s="875">
        <f>[1]Субсидия_факт!JT21</f>
        <v>0</v>
      </c>
      <c r="BO19" s="294"/>
      <c r="BP19" s="151">
        <f>[1]Субсидия_факт!JZ21</f>
        <v>0</v>
      </c>
      <c r="BQ19" s="753"/>
      <c r="BR19" s="292">
        <f t="shared" si="30"/>
        <v>0</v>
      </c>
      <c r="BS19" s="292">
        <f t="shared" si="31"/>
        <v>0</v>
      </c>
      <c r="BT19" s="875">
        <f>[1]Субсидия_факт!KB21</f>
        <v>0</v>
      </c>
      <c r="BU19" s="294"/>
      <c r="BV19" s="151">
        <f>[1]Субсидия_факт!KF21</f>
        <v>0</v>
      </c>
      <c r="BW19" s="948"/>
      <c r="BX19" s="292">
        <f t="shared" si="32"/>
        <v>0</v>
      </c>
      <c r="BY19" s="292">
        <f t="shared" si="33"/>
        <v>0</v>
      </c>
      <c r="BZ19" s="875">
        <f>[1]Субсидия_факт!KH21</f>
        <v>0</v>
      </c>
      <c r="CA19" s="294"/>
      <c r="CB19" s="151">
        <f>[1]Субсидия_факт!KX21</f>
        <v>431155.83000000007</v>
      </c>
      <c r="CC19" s="948">
        <f t="shared" si="5"/>
        <v>431155.83000000007</v>
      </c>
      <c r="CD19" s="292">
        <f t="shared" si="34"/>
        <v>431155.83000000007</v>
      </c>
      <c r="CE19" s="292">
        <f t="shared" si="35"/>
        <v>431155.83000000007</v>
      </c>
      <c r="CF19" s="875">
        <f>[1]Субсидия_факт!KZ21</f>
        <v>0</v>
      </c>
      <c r="CG19" s="1397">
        <f t="shared" si="36"/>
        <v>0</v>
      </c>
      <c r="CH19" s="151">
        <f>[1]Субсидия_факт!LD21</f>
        <v>1654400</v>
      </c>
      <c r="CI19" s="948">
        <f t="shared" si="37"/>
        <v>1654400</v>
      </c>
      <c r="CJ19" s="292">
        <f t="shared" si="38"/>
        <v>1654400</v>
      </c>
      <c r="CK19" s="292">
        <f t="shared" si="39"/>
        <v>1654400</v>
      </c>
      <c r="CL19" s="875">
        <f>[1]Субсидия_факт!LF21</f>
        <v>0</v>
      </c>
      <c r="CM19" s="1397">
        <f t="shared" si="40"/>
        <v>0</v>
      </c>
    </row>
    <row r="20" spans="1:91" s="152" customFormat="1" ht="21" customHeight="1" x14ac:dyDescent="0.3">
      <c r="A20" s="147" t="s">
        <v>91</v>
      </c>
      <c r="B20" s="148">
        <f t="shared" si="6"/>
        <v>19838366.859999999</v>
      </c>
      <c r="C20" s="148">
        <f t="shared" si="7"/>
        <v>1067499.8700000001</v>
      </c>
      <c r="D20" s="501">
        <f t="shared" si="8"/>
        <v>19838366.859999999</v>
      </c>
      <c r="E20" s="501">
        <f t="shared" si="9"/>
        <v>1067499.8700000001</v>
      </c>
      <c r="F20" s="501">
        <f t="shared" si="10"/>
        <v>0</v>
      </c>
      <c r="G20" s="501">
        <f t="shared" si="11"/>
        <v>0</v>
      </c>
      <c r="H20" s="151">
        <f>[1]Субсидия_факт!DJ22</f>
        <v>0</v>
      </c>
      <c r="I20" s="948">
        <f t="shared" si="1"/>
        <v>0</v>
      </c>
      <c r="J20" s="292">
        <f t="shared" si="12"/>
        <v>0</v>
      </c>
      <c r="K20" s="292">
        <f t="shared" si="13"/>
        <v>0</v>
      </c>
      <c r="L20" s="875">
        <f>[1]Субсидия_факт!DL22</f>
        <v>0</v>
      </c>
      <c r="M20" s="1397">
        <f t="shared" si="2"/>
        <v>0</v>
      </c>
      <c r="N20" s="151">
        <f>[1]Субсидия_факт!CX22</f>
        <v>0</v>
      </c>
      <c r="O20" s="948">
        <f t="shared" si="41"/>
        <v>0</v>
      </c>
      <c r="P20" s="292">
        <f t="shared" si="14"/>
        <v>0</v>
      </c>
      <c r="Q20" s="292">
        <f t="shared" si="15"/>
        <v>0</v>
      </c>
      <c r="R20" s="875">
        <f>[1]Субсидия_факт!CZ22</f>
        <v>0</v>
      </c>
      <c r="S20" s="1397">
        <f t="shared" si="42"/>
        <v>0</v>
      </c>
      <c r="T20" s="1073">
        <f>[1]Субсидия_факт!FB22</f>
        <v>480000</v>
      </c>
      <c r="U20" s="1360"/>
      <c r="V20" s="1357">
        <f t="shared" si="16"/>
        <v>480000</v>
      </c>
      <c r="W20" s="1357">
        <f t="shared" si="17"/>
        <v>0</v>
      </c>
      <c r="X20" s="1358">
        <f>[1]Субсидия_факт!FD22</f>
        <v>0</v>
      </c>
      <c r="Y20" s="1369"/>
      <c r="Z20" s="151">
        <f>[1]Субсидия_факт!FN22</f>
        <v>18179400</v>
      </c>
      <c r="AA20" s="753"/>
      <c r="AB20" s="292">
        <f t="shared" si="18"/>
        <v>18179400</v>
      </c>
      <c r="AC20" s="292">
        <f t="shared" si="19"/>
        <v>0</v>
      </c>
      <c r="AD20" s="875">
        <f>[1]Субсидия_факт!FP22</f>
        <v>0</v>
      </c>
      <c r="AE20" s="294"/>
      <c r="AF20" s="151">
        <f>[1]Субсидия_факт!GT22</f>
        <v>0</v>
      </c>
      <c r="AG20" s="753"/>
      <c r="AH20" s="292">
        <f t="shared" si="20"/>
        <v>0</v>
      </c>
      <c r="AI20" s="292">
        <f t="shared" si="21"/>
        <v>0</v>
      </c>
      <c r="AJ20" s="875">
        <f>[1]Субсидия_факт!GV22</f>
        <v>0</v>
      </c>
      <c r="AK20" s="294"/>
      <c r="AL20" s="151">
        <f>[1]Субсидия_факт!HH22</f>
        <v>0</v>
      </c>
      <c r="AM20" s="753"/>
      <c r="AN20" s="292">
        <f t="shared" si="22"/>
        <v>0</v>
      </c>
      <c r="AO20" s="292">
        <f t="shared" si="23"/>
        <v>0</v>
      </c>
      <c r="AP20" s="875">
        <f>[1]Субсидия_факт!HJ22</f>
        <v>0</v>
      </c>
      <c r="AQ20" s="294"/>
      <c r="AR20" s="151">
        <f>[1]Субсидия_факт!IB22</f>
        <v>588298.02</v>
      </c>
      <c r="AS20" s="753">
        <v>476831.03</v>
      </c>
      <c r="AT20" s="292">
        <f t="shared" si="24"/>
        <v>588298.02</v>
      </c>
      <c r="AU20" s="292">
        <f t="shared" si="25"/>
        <v>476831.03</v>
      </c>
      <c r="AV20" s="875">
        <f>[1]Субсидия_факт!ID22</f>
        <v>0</v>
      </c>
      <c r="AW20" s="294"/>
      <c r="AX20" s="1073">
        <f>[1]Субсидия_факт!IZ22</f>
        <v>0</v>
      </c>
      <c r="AY20" s="1074"/>
      <c r="AZ20" s="1357">
        <f t="shared" si="26"/>
        <v>0</v>
      </c>
      <c r="BA20" s="1357"/>
      <c r="BB20" s="1358">
        <f>[1]Субсидия_факт!JB22</f>
        <v>0</v>
      </c>
      <c r="BC20" s="1359">
        <f t="shared" si="27"/>
        <v>0</v>
      </c>
      <c r="BD20" s="151">
        <f>[1]Субсидия_факт!JL22</f>
        <v>0</v>
      </c>
      <c r="BE20" s="753"/>
      <c r="BF20" s="292">
        <f t="shared" si="28"/>
        <v>0</v>
      </c>
      <c r="BG20" s="292"/>
      <c r="BH20" s="875">
        <f>[1]Субсидия_факт!JN22</f>
        <v>0</v>
      </c>
      <c r="BI20" s="294"/>
      <c r="BJ20" s="151">
        <f>[1]Субсидия_факт!JR22</f>
        <v>0</v>
      </c>
      <c r="BK20" s="753"/>
      <c r="BL20" s="292">
        <f t="shared" si="29"/>
        <v>0</v>
      </c>
      <c r="BM20" s="292"/>
      <c r="BN20" s="875">
        <f>[1]Субсидия_факт!JT22</f>
        <v>0</v>
      </c>
      <c r="BO20" s="294"/>
      <c r="BP20" s="151">
        <f>[1]Субсидия_факт!JZ22</f>
        <v>0</v>
      </c>
      <c r="BQ20" s="753"/>
      <c r="BR20" s="292">
        <f t="shared" si="30"/>
        <v>0</v>
      </c>
      <c r="BS20" s="292">
        <f t="shared" si="31"/>
        <v>0</v>
      </c>
      <c r="BT20" s="875">
        <f>[1]Субсидия_факт!KB22</f>
        <v>0</v>
      </c>
      <c r="BU20" s="294"/>
      <c r="BV20" s="151">
        <f>[1]Субсидия_факт!KF22</f>
        <v>0</v>
      </c>
      <c r="BW20" s="948"/>
      <c r="BX20" s="292">
        <f t="shared" si="32"/>
        <v>0</v>
      </c>
      <c r="BY20" s="292">
        <f t="shared" si="33"/>
        <v>0</v>
      </c>
      <c r="BZ20" s="875">
        <f>[1]Субсидия_факт!KH22</f>
        <v>0</v>
      </c>
      <c r="CA20" s="294"/>
      <c r="CB20" s="151">
        <f>[1]Субсидия_факт!KX22</f>
        <v>590668.84000000008</v>
      </c>
      <c r="CC20" s="948">
        <f t="shared" si="5"/>
        <v>590668.84000000008</v>
      </c>
      <c r="CD20" s="292">
        <f t="shared" si="34"/>
        <v>590668.84000000008</v>
      </c>
      <c r="CE20" s="292">
        <f t="shared" si="35"/>
        <v>590668.84000000008</v>
      </c>
      <c r="CF20" s="875">
        <f>[1]Субсидия_факт!KZ22</f>
        <v>0</v>
      </c>
      <c r="CG20" s="1397">
        <f t="shared" si="36"/>
        <v>0</v>
      </c>
      <c r="CH20" s="151">
        <f>[1]Субсидия_факт!LD22</f>
        <v>0</v>
      </c>
      <c r="CI20" s="948">
        <f t="shared" si="37"/>
        <v>0</v>
      </c>
      <c r="CJ20" s="292">
        <f t="shared" si="38"/>
        <v>0</v>
      </c>
      <c r="CK20" s="292">
        <f t="shared" si="39"/>
        <v>0</v>
      </c>
      <c r="CL20" s="875">
        <f>[1]Субсидия_факт!LF22</f>
        <v>0</v>
      </c>
      <c r="CM20" s="1397">
        <f t="shared" si="40"/>
        <v>0</v>
      </c>
    </row>
    <row r="21" spans="1:91" s="152" customFormat="1" ht="21" customHeight="1" x14ac:dyDescent="0.3">
      <c r="A21" s="147" t="s">
        <v>92</v>
      </c>
      <c r="B21" s="148">
        <f t="shared" si="6"/>
        <v>8593595.4299999997</v>
      </c>
      <c r="C21" s="148">
        <f t="shared" si="7"/>
        <v>2741018.56</v>
      </c>
      <c r="D21" s="501">
        <f t="shared" si="8"/>
        <v>8593595.4299999997</v>
      </c>
      <c r="E21" s="501">
        <f t="shared" si="9"/>
        <v>2741018.56</v>
      </c>
      <c r="F21" s="501">
        <f t="shared" si="10"/>
        <v>0</v>
      </c>
      <c r="G21" s="501">
        <f t="shared" si="11"/>
        <v>0</v>
      </c>
      <c r="H21" s="151">
        <f>[1]Субсидия_факт!DJ23</f>
        <v>0</v>
      </c>
      <c r="I21" s="948">
        <f t="shared" si="1"/>
        <v>0</v>
      </c>
      <c r="J21" s="292">
        <f t="shared" si="12"/>
        <v>0</v>
      </c>
      <c r="K21" s="292">
        <f t="shared" si="13"/>
        <v>0</v>
      </c>
      <c r="L21" s="875">
        <f>[1]Субсидия_факт!DL23</f>
        <v>0</v>
      </c>
      <c r="M21" s="1397">
        <f t="shared" si="2"/>
        <v>0</v>
      </c>
      <c r="N21" s="151">
        <f>[1]Субсидия_факт!CX23</f>
        <v>0</v>
      </c>
      <c r="O21" s="948">
        <f t="shared" si="41"/>
        <v>0</v>
      </c>
      <c r="P21" s="292">
        <f t="shared" si="14"/>
        <v>0</v>
      </c>
      <c r="Q21" s="292">
        <f t="shared" si="15"/>
        <v>0</v>
      </c>
      <c r="R21" s="875">
        <f>[1]Субсидия_факт!CZ23</f>
        <v>0</v>
      </c>
      <c r="S21" s="1397">
        <f t="shared" si="42"/>
        <v>0</v>
      </c>
      <c r="T21" s="1073">
        <f>[1]Субсидия_факт!FB23</f>
        <v>0</v>
      </c>
      <c r="U21" s="1360"/>
      <c r="V21" s="1357">
        <f t="shared" si="16"/>
        <v>0</v>
      </c>
      <c r="W21" s="1357">
        <f t="shared" si="17"/>
        <v>0</v>
      </c>
      <c r="X21" s="1358">
        <f>[1]Субсидия_факт!FD23</f>
        <v>0</v>
      </c>
      <c r="Y21" s="1369"/>
      <c r="Z21" s="151">
        <f>[1]Субсидия_факт!FN23</f>
        <v>0</v>
      </c>
      <c r="AA21" s="753"/>
      <c r="AB21" s="292">
        <f t="shared" si="18"/>
        <v>0</v>
      </c>
      <c r="AC21" s="292">
        <f t="shared" si="19"/>
        <v>0</v>
      </c>
      <c r="AD21" s="875">
        <f>[1]Субсидия_факт!FP23</f>
        <v>0</v>
      </c>
      <c r="AE21" s="294"/>
      <c r="AF21" s="151">
        <f>[1]Субсидия_факт!GT23</f>
        <v>0</v>
      </c>
      <c r="AG21" s="753"/>
      <c r="AH21" s="292">
        <f t="shared" si="20"/>
        <v>0</v>
      </c>
      <c r="AI21" s="292">
        <f t="shared" si="21"/>
        <v>0</v>
      </c>
      <c r="AJ21" s="875">
        <f>[1]Субсидия_факт!GV23</f>
        <v>0</v>
      </c>
      <c r="AK21" s="294"/>
      <c r="AL21" s="151">
        <f>[1]Субсидия_факт!HH23</f>
        <v>0</v>
      </c>
      <c r="AM21" s="753"/>
      <c r="AN21" s="292">
        <f t="shared" si="22"/>
        <v>0</v>
      </c>
      <c r="AO21" s="292">
        <f t="shared" si="23"/>
        <v>0</v>
      </c>
      <c r="AP21" s="875">
        <f>[1]Субсидия_факт!HJ23</f>
        <v>0</v>
      </c>
      <c r="AQ21" s="294"/>
      <c r="AR21" s="151">
        <f>[1]Субсидия_факт!IB23</f>
        <v>5845299.8699999992</v>
      </c>
      <c r="AS21" s="753"/>
      <c r="AT21" s="292">
        <f t="shared" si="24"/>
        <v>5845299.8699999992</v>
      </c>
      <c r="AU21" s="292">
        <f t="shared" si="25"/>
        <v>0</v>
      </c>
      <c r="AV21" s="875">
        <f>[1]Субсидия_факт!ID23</f>
        <v>0</v>
      </c>
      <c r="AW21" s="294"/>
      <c r="AX21" s="1073">
        <f>[1]Субсидия_факт!IZ23</f>
        <v>0</v>
      </c>
      <c r="AY21" s="1074"/>
      <c r="AZ21" s="1357">
        <f t="shared" si="26"/>
        <v>0</v>
      </c>
      <c r="BA21" s="1357"/>
      <c r="BB21" s="1358">
        <f>[1]Субсидия_факт!JB23</f>
        <v>0</v>
      </c>
      <c r="BC21" s="1359">
        <f t="shared" si="27"/>
        <v>0</v>
      </c>
      <c r="BD21" s="151">
        <f>[1]Субсидия_факт!JL23</f>
        <v>0</v>
      </c>
      <c r="BE21" s="753"/>
      <c r="BF21" s="292">
        <f t="shared" si="28"/>
        <v>0</v>
      </c>
      <c r="BG21" s="292"/>
      <c r="BH21" s="875">
        <f>[1]Субсидия_факт!JN23</f>
        <v>0</v>
      </c>
      <c r="BI21" s="294"/>
      <c r="BJ21" s="151">
        <f>[1]Субсидия_факт!JR23</f>
        <v>0</v>
      </c>
      <c r="BK21" s="753"/>
      <c r="BL21" s="292">
        <f t="shared" si="29"/>
        <v>0</v>
      </c>
      <c r="BM21" s="292"/>
      <c r="BN21" s="875">
        <f>[1]Субсидия_факт!JT23</f>
        <v>0</v>
      </c>
      <c r="BO21" s="294"/>
      <c r="BP21" s="151">
        <f>[1]Субсидия_факт!JZ23</f>
        <v>0</v>
      </c>
      <c r="BQ21" s="753"/>
      <c r="BR21" s="292">
        <f t="shared" si="30"/>
        <v>0</v>
      </c>
      <c r="BS21" s="292">
        <f t="shared" si="31"/>
        <v>0</v>
      </c>
      <c r="BT21" s="875">
        <f>[1]Субсидия_факт!KB23</f>
        <v>0</v>
      </c>
      <c r="BU21" s="294"/>
      <c r="BV21" s="151">
        <f>[1]Субсидия_факт!KF23</f>
        <v>0</v>
      </c>
      <c r="BW21" s="948"/>
      <c r="BX21" s="292">
        <f t="shared" si="32"/>
        <v>0</v>
      </c>
      <c r="BY21" s="292">
        <f t="shared" si="33"/>
        <v>0</v>
      </c>
      <c r="BZ21" s="875">
        <f>[1]Субсидия_факт!KH23</f>
        <v>0</v>
      </c>
      <c r="CA21" s="294"/>
      <c r="CB21" s="151">
        <f>[1]Субсидия_факт!KX23</f>
        <v>517675.56000000006</v>
      </c>
      <c r="CC21" s="948">
        <f t="shared" si="5"/>
        <v>517675.56000000006</v>
      </c>
      <c r="CD21" s="292">
        <f t="shared" si="34"/>
        <v>517675.56000000006</v>
      </c>
      <c r="CE21" s="292">
        <f t="shared" si="35"/>
        <v>517675.56000000006</v>
      </c>
      <c r="CF21" s="875">
        <f>[1]Субсидия_факт!KZ23</f>
        <v>0</v>
      </c>
      <c r="CG21" s="1397">
        <f t="shared" si="36"/>
        <v>0</v>
      </c>
      <c r="CH21" s="151">
        <f>[1]Субсидия_факт!LD23</f>
        <v>2230620</v>
      </c>
      <c r="CI21" s="753">
        <v>2223343</v>
      </c>
      <c r="CJ21" s="292">
        <f t="shared" si="38"/>
        <v>2230620</v>
      </c>
      <c r="CK21" s="292">
        <f t="shared" si="39"/>
        <v>2223343</v>
      </c>
      <c r="CL21" s="875">
        <f>[1]Субсидия_факт!LF23</f>
        <v>0</v>
      </c>
      <c r="CM21" s="1397">
        <f t="shared" si="40"/>
        <v>0</v>
      </c>
    </row>
    <row r="22" spans="1:91" s="152" customFormat="1" ht="21" customHeight="1" x14ac:dyDescent="0.3">
      <c r="A22" s="147" t="s">
        <v>93</v>
      </c>
      <c r="B22" s="148">
        <f t="shared" si="6"/>
        <v>14985515.01</v>
      </c>
      <c r="C22" s="148">
        <f t="shared" si="7"/>
        <v>6403163.1399999997</v>
      </c>
      <c r="D22" s="501">
        <f t="shared" si="8"/>
        <v>14985515.01</v>
      </c>
      <c r="E22" s="501">
        <f t="shared" si="9"/>
        <v>6403163.1399999997</v>
      </c>
      <c r="F22" s="501">
        <f t="shared" si="10"/>
        <v>0</v>
      </c>
      <c r="G22" s="501">
        <f t="shared" si="11"/>
        <v>0</v>
      </c>
      <c r="H22" s="151">
        <f>[1]Субсидия_факт!DJ24</f>
        <v>0</v>
      </c>
      <c r="I22" s="948">
        <f t="shared" si="1"/>
        <v>0</v>
      </c>
      <c r="J22" s="292">
        <f t="shared" si="12"/>
        <v>0</v>
      </c>
      <c r="K22" s="292">
        <f t="shared" si="13"/>
        <v>0</v>
      </c>
      <c r="L22" s="875">
        <f>[1]Субсидия_факт!DL24</f>
        <v>0</v>
      </c>
      <c r="M22" s="1397">
        <f t="shared" si="2"/>
        <v>0</v>
      </c>
      <c r="N22" s="151">
        <f>[1]Субсидия_факт!CX24</f>
        <v>0</v>
      </c>
      <c r="O22" s="948">
        <f t="shared" si="41"/>
        <v>0</v>
      </c>
      <c r="P22" s="292">
        <f t="shared" si="14"/>
        <v>0</v>
      </c>
      <c r="Q22" s="292">
        <f t="shared" si="15"/>
        <v>0</v>
      </c>
      <c r="R22" s="875">
        <f>[1]Субсидия_факт!CZ24</f>
        <v>0</v>
      </c>
      <c r="S22" s="1397">
        <f t="shared" si="42"/>
        <v>0</v>
      </c>
      <c r="T22" s="1073">
        <f>[1]Субсидия_факт!FB24</f>
        <v>0</v>
      </c>
      <c r="U22" s="1360"/>
      <c r="V22" s="1357">
        <f t="shared" si="16"/>
        <v>0</v>
      </c>
      <c r="W22" s="1357">
        <f t="shared" si="17"/>
        <v>0</v>
      </c>
      <c r="X22" s="1358">
        <f>[1]Субсидия_факт!FD24</f>
        <v>0</v>
      </c>
      <c r="Y22" s="1369"/>
      <c r="Z22" s="151">
        <f>[1]Субсидия_факт!FN24</f>
        <v>0</v>
      </c>
      <c r="AA22" s="753"/>
      <c r="AB22" s="292">
        <f t="shared" si="18"/>
        <v>0</v>
      </c>
      <c r="AC22" s="292">
        <f t="shared" si="19"/>
        <v>0</v>
      </c>
      <c r="AD22" s="875">
        <f>[1]Субсидия_факт!FP24</f>
        <v>0</v>
      </c>
      <c r="AE22" s="294"/>
      <c r="AF22" s="151">
        <f>[1]Субсидия_факт!GT24</f>
        <v>0</v>
      </c>
      <c r="AG22" s="753"/>
      <c r="AH22" s="292">
        <f t="shared" si="20"/>
        <v>0</v>
      </c>
      <c r="AI22" s="292">
        <f t="shared" si="21"/>
        <v>0</v>
      </c>
      <c r="AJ22" s="875">
        <f>[1]Субсидия_факт!GV24</f>
        <v>0</v>
      </c>
      <c r="AK22" s="294"/>
      <c r="AL22" s="151">
        <f>[1]Субсидия_факт!HH24</f>
        <v>0</v>
      </c>
      <c r="AM22" s="753"/>
      <c r="AN22" s="292">
        <f t="shared" si="22"/>
        <v>0</v>
      </c>
      <c r="AO22" s="292">
        <f t="shared" si="23"/>
        <v>0</v>
      </c>
      <c r="AP22" s="875">
        <f>[1]Субсидия_факт!HJ24</f>
        <v>0</v>
      </c>
      <c r="AQ22" s="294"/>
      <c r="AR22" s="151">
        <f>[1]Субсидия_факт!IB24</f>
        <v>8488800</v>
      </c>
      <c r="AS22" s="753">
        <v>64320.7</v>
      </c>
      <c r="AT22" s="292">
        <f t="shared" si="24"/>
        <v>8488800</v>
      </c>
      <c r="AU22" s="292">
        <f t="shared" si="25"/>
        <v>64320.7</v>
      </c>
      <c r="AV22" s="875">
        <f>[1]Субсидия_факт!ID24</f>
        <v>0</v>
      </c>
      <c r="AW22" s="294"/>
      <c r="AX22" s="1073">
        <f>[1]Субсидия_факт!IZ24</f>
        <v>0</v>
      </c>
      <c r="AY22" s="1074"/>
      <c r="AZ22" s="1357">
        <f t="shared" si="26"/>
        <v>0</v>
      </c>
      <c r="BA22" s="1357"/>
      <c r="BB22" s="1358">
        <f>[1]Субсидия_факт!JB24</f>
        <v>0</v>
      </c>
      <c r="BC22" s="1359">
        <f t="shared" si="27"/>
        <v>0</v>
      </c>
      <c r="BD22" s="151">
        <f>[1]Субсидия_факт!JL24</f>
        <v>0</v>
      </c>
      <c r="BE22" s="753"/>
      <c r="BF22" s="292">
        <f t="shared" si="28"/>
        <v>0</v>
      </c>
      <c r="BG22" s="292"/>
      <c r="BH22" s="875">
        <f>[1]Субсидия_факт!JN24</f>
        <v>0</v>
      </c>
      <c r="BI22" s="294"/>
      <c r="BJ22" s="151">
        <f>[1]Субсидия_факт!JR24</f>
        <v>0</v>
      </c>
      <c r="BK22" s="753"/>
      <c r="BL22" s="292">
        <f t="shared" si="29"/>
        <v>0</v>
      </c>
      <c r="BM22" s="292"/>
      <c r="BN22" s="875">
        <f>[1]Субсидия_факт!JT24</f>
        <v>0</v>
      </c>
      <c r="BO22" s="294"/>
      <c r="BP22" s="151">
        <f>[1]Субсидия_факт!JZ24</f>
        <v>0</v>
      </c>
      <c r="BQ22" s="753"/>
      <c r="BR22" s="292">
        <f t="shared" si="30"/>
        <v>0</v>
      </c>
      <c r="BS22" s="292">
        <f t="shared" si="31"/>
        <v>0</v>
      </c>
      <c r="BT22" s="875">
        <f>[1]Субсидия_факт!KB24</f>
        <v>0</v>
      </c>
      <c r="BU22" s="294"/>
      <c r="BV22" s="151">
        <f>[1]Субсидия_факт!KF24</f>
        <v>0</v>
      </c>
      <c r="BW22" s="948"/>
      <c r="BX22" s="292">
        <f t="shared" si="32"/>
        <v>0</v>
      </c>
      <c r="BY22" s="292">
        <f t="shared" si="33"/>
        <v>0</v>
      </c>
      <c r="BZ22" s="875">
        <f>[1]Субсидия_факт!KH24</f>
        <v>0</v>
      </c>
      <c r="CA22" s="294"/>
      <c r="CB22" s="151">
        <f>[1]Субсидия_факт!KX24</f>
        <v>336549.01</v>
      </c>
      <c r="CC22" s="948">
        <f t="shared" si="5"/>
        <v>336549.01</v>
      </c>
      <c r="CD22" s="292">
        <f t="shared" si="34"/>
        <v>336549.01</v>
      </c>
      <c r="CE22" s="292">
        <f t="shared" si="35"/>
        <v>336549.01</v>
      </c>
      <c r="CF22" s="875">
        <f>[1]Субсидия_факт!KZ24</f>
        <v>0</v>
      </c>
      <c r="CG22" s="1397">
        <f t="shared" si="36"/>
        <v>0</v>
      </c>
      <c r="CH22" s="151">
        <f>[1]Субсидия_факт!LD24</f>
        <v>6160166</v>
      </c>
      <c r="CI22" s="753">
        <v>6002293.4299999997</v>
      </c>
      <c r="CJ22" s="292">
        <f t="shared" si="38"/>
        <v>6160166</v>
      </c>
      <c r="CK22" s="292">
        <f t="shared" si="39"/>
        <v>6002293.4299999997</v>
      </c>
      <c r="CL22" s="875">
        <f>[1]Субсидия_факт!LF24</f>
        <v>0</v>
      </c>
      <c r="CM22" s="1397">
        <f t="shared" si="40"/>
        <v>0</v>
      </c>
    </row>
    <row r="23" spans="1:91" s="152" customFormat="1" ht="21" customHeight="1" x14ac:dyDescent="0.3">
      <c r="A23" s="147" t="s">
        <v>94</v>
      </c>
      <c r="B23" s="148">
        <f t="shared" si="6"/>
        <v>11946383.32</v>
      </c>
      <c r="C23" s="148">
        <f t="shared" si="7"/>
        <v>4362477.4899999993</v>
      </c>
      <c r="D23" s="501">
        <f t="shared" si="8"/>
        <v>8122157.0199999996</v>
      </c>
      <c r="E23" s="501">
        <f t="shared" si="9"/>
        <v>2245966.6100000003</v>
      </c>
      <c r="F23" s="501">
        <f t="shared" si="10"/>
        <v>3824226.3000000003</v>
      </c>
      <c r="G23" s="501">
        <f t="shared" si="11"/>
        <v>2116510.88</v>
      </c>
      <c r="H23" s="151">
        <f>[1]Субсидия_факт!DJ25</f>
        <v>22492.890000000007</v>
      </c>
      <c r="I23" s="948">
        <f t="shared" si="1"/>
        <v>22492.890000000007</v>
      </c>
      <c r="J23" s="292">
        <f t="shared" si="12"/>
        <v>0</v>
      </c>
      <c r="K23" s="292">
        <f t="shared" si="13"/>
        <v>0</v>
      </c>
      <c r="L23" s="875">
        <f>[1]Субсидия_факт!DL25</f>
        <v>22492.890000000007</v>
      </c>
      <c r="M23" s="1397">
        <f t="shared" si="2"/>
        <v>22492.890000000007</v>
      </c>
      <c r="N23" s="151">
        <f>[1]Субсидия_факт!CX25</f>
        <v>699.65999999999985</v>
      </c>
      <c r="O23" s="948">
        <f t="shared" si="41"/>
        <v>699.65999999999985</v>
      </c>
      <c r="P23" s="292">
        <f t="shared" si="14"/>
        <v>0</v>
      </c>
      <c r="Q23" s="292">
        <f t="shared" si="15"/>
        <v>0</v>
      </c>
      <c r="R23" s="875">
        <f>[1]Субсидия_факт!CZ25</f>
        <v>699.66</v>
      </c>
      <c r="S23" s="1397">
        <f t="shared" si="42"/>
        <v>699.66</v>
      </c>
      <c r="T23" s="1073">
        <f>[1]Субсидия_факт!FB25</f>
        <v>0</v>
      </c>
      <c r="U23" s="1360"/>
      <c r="V23" s="1357">
        <f t="shared" si="16"/>
        <v>0</v>
      </c>
      <c r="W23" s="1357">
        <f t="shared" si="17"/>
        <v>0</v>
      </c>
      <c r="X23" s="1358">
        <f>[1]Субсидия_факт!FD25</f>
        <v>0</v>
      </c>
      <c r="Y23" s="1369"/>
      <c r="Z23" s="151">
        <f>[1]Субсидия_факт!FN25</f>
        <v>7463360</v>
      </c>
      <c r="AA23" s="753">
        <v>1587169.59</v>
      </c>
      <c r="AB23" s="292">
        <f t="shared" si="18"/>
        <v>7463360</v>
      </c>
      <c r="AC23" s="292">
        <f t="shared" si="19"/>
        <v>1587169.59</v>
      </c>
      <c r="AD23" s="875">
        <f>[1]Субсидия_факт!FP25</f>
        <v>0</v>
      </c>
      <c r="AE23" s="294"/>
      <c r="AF23" s="151">
        <f>[1]Субсидия_факт!GT25</f>
        <v>0</v>
      </c>
      <c r="AG23" s="753"/>
      <c r="AH23" s="292">
        <f t="shared" si="20"/>
        <v>0</v>
      </c>
      <c r="AI23" s="292">
        <f t="shared" si="21"/>
        <v>0</v>
      </c>
      <c r="AJ23" s="875">
        <f>[1]Субсидия_факт!GV25</f>
        <v>0</v>
      </c>
      <c r="AK23" s="294"/>
      <c r="AL23" s="151">
        <f>[1]Субсидия_факт!HH25</f>
        <v>87035</v>
      </c>
      <c r="AM23" s="753"/>
      <c r="AN23" s="292">
        <f t="shared" si="22"/>
        <v>0</v>
      </c>
      <c r="AO23" s="292">
        <f t="shared" si="23"/>
        <v>0</v>
      </c>
      <c r="AP23" s="875">
        <f>[1]Субсидия_факт!HJ25</f>
        <v>87035</v>
      </c>
      <c r="AQ23" s="294"/>
      <c r="AR23" s="151">
        <f>[1]Субсидия_факт!IB25</f>
        <v>0</v>
      </c>
      <c r="AS23" s="753"/>
      <c r="AT23" s="292">
        <f t="shared" si="24"/>
        <v>0</v>
      </c>
      <c r="AU23" s="292">
        <f t="shared" si="25"/>
        <v>0</v>
      </c>
      <c r="AV23" s="875">
        <f>[1]Субсидия_факт!ID25</f>
        <v>0</v>
      </c>
      <c r="AW23" s="294"/>
      <c r="AX23" s="1073">
        <f>[1]Субсидия_факт!IZ25</f>
        <v>0</v>
      </c>
      <c r="AY23" s="1074"/>
      <c r="AZ23" s="1357">
        <f t="shared" si="26"/>
        <v>0</v>
      </c>
      <c r="BA23" s="1357"/>
      <c r="BB23" s="1358">
        <f>[1]Субсидия_факт!JB25</f>
        <v>0</v>
      </c>
      <c r="BC23" s="1359">
        <f t="shared" si="27"/>
        <v>0</v>
      </c>
      <c r="BD23" s="151">
        <f>[1]Субсидия_факт!JL25</f>
        <v>0</v>
      </c>
      <c r="BE23" s="753"/>
      <c r="BF23" s="292">
        <f t="shared" si="28"/>
        <v>0</v>
      </c>
      <c r="BG23" s="292"/>
      <c r="BH23" s="875">
        <f>[1]Субсидия_факт!JN25</f>
        <v>0</v>
      </c>
      <c r="BI23" s="294"/>
      <c r="BJ23" s="151">
        <f>[1]Субсидия_факт!JR25</f>
        <v>0</v>
      </c>
      <c r="BK23" s="753"/>
      <c r="BL23" s="292">
        <f t="shared" si="29"/>
        <v>0</v>
      </c>
      <c r="BM23" s="292"/>
      <c r="BN23" s="875">
        <f>[1]Субсидия_факт!JT25</f>
        <v>0</v>
      </c>
      <c r="BO23" s="294"/>
      <c r="BP23" s="151">
        <f>[1]Субсидия_факт!JZ25</f>
        <v>0</v>
      </c>
      <c r="BQ23" s="753"/>
      <c r="BR23" s="292">
        <f t="shared" si="30"/>
        <v>0</v>
      </c>
      <c r="BS23" s="292">
        <f t="shared" si="31"/>
        <v>0</v>
      </c>
      <c r="BT23" s="875">
        <f>[1]Субсидия_факт!KB25</f>
        <v>0</v>
      </c>
      <c r="BU23" s="294"/>
      <c r="BV23" s="151">
        <f>[1]Субсидия_факт!KF25</f>
        <v>1562750</v>
      </c>
      <c r="BW23" s="948"/>
      <c r="BX23" s="292">
        <f t="shared" si="32"/>
        <v>0</v>
      </c>
      <c r="BY23" s="292">
        <f t="shared" si="33"/>
        <v>0</v>
      </c>
      <c r="BZ23" s="875">
        <f>[1]Субсидия_факт!KH25</f>
        <v>1562750</v>
      </c>
      <c r="CA23" s="294"/>
      <c r="CB23" s="151">
        <f>[1]Субсидия_факт!KX25</f>
        <v>810045.77</v>
      </c>
      <c r="CC23" s="948">
        <f t="shared" si="5"/>
        <v>810045.77</v>
      </c>
      <c r="CD23" s="292">
        <f t="shared" si="34"/>
        <v>658797.02</v>
      </c>
      <c r="CE23" s="292">
        <f t="shared" si="35"/>
        <v>658797.02</v>
      </c>
      <c r="CF23" s="875">
        <f>[1]Субсидия_факт!KZ25</f>
        <v>151248.75</v>
      </c>
      <c r="CG23" s="1397">
        <f t="shared" si="36"/>
        <v>151248.75</v>
      </c>
      <c r="CH23" s="151">
        <f>[1]Субсидия_факт!LD25</f>
        <v>2000000</v>
      </c>
      <c r="CI23" s="753">
        <v>1942069.58</v>
      </c>
      <c r="CJ23" s="292">
        <f t="shared" si="38"/>
        <v>0</v>
      </c>
      <c r="CK23" s="292">
        <f t="shared" si="39"/>
        <v>0</v>
      </c>
      <c r="CL23" s="875">
        <f>[1]Субсидия_факт!LF25</f>
        <v>2000000</v>
      </c>
      <c r="CM23" s="1397">
        <f>CI23</f>
        <v>1942069.58</v>
      </c>
    </row>
    <row r="24" spans="1:91" s="152" customFormat="1" ht="21" customHeight="1" x14ac:dyDescent="0.3">
      <c r="A24" s="147" t="s">
        <v>95</v>
      </c>
      <c r="B24" s="148">
        <f t="shared" si="6"/>
        <v>13213487.390000001</v>
      </c>
      <c r="C24" s="148">
        <f t="shared" si="7"/>
        <v>1638074.52</v>
      </c>
      <c r="D24" s="501">
        <f t="shared" si="8"/>
        <v>13213487.390000001</v>
      </c>
      <c r="E24" s="501">
        <f t="shared" si="9"/>
        <v>1638074.52</v>
      </c>
      <c r="F24" s="501">
        <f t="shared" si="10"/>
        <v>0</v>
      </c>
      <c r="G24" s="501">
        <f t="shared" si="11"/>
        <v>0</v>
      </c>
      <c r="H24" s="151">
        <f>[1]Субсидия_факт!DJ26</f>
        <v>0</v>
      </c>
      <c r="I24" s="948">
        <f t="shared" si="1"/>
        <v>0</v>
      </c>
      <c r="J24" s="292">
        <f t="shared" si="12"/>
        <v>0</v>
      </c>
      <c r="K24" s="292">
        <f t="shared" si="13"/>
        <v>0</v>
      </c>
      <c r="L24" s="875">
        <f>[1]Субсидия_факт!DL26</f>
        <v>0</v>
      </c>
      <c r="M24" s="1397">
        <f t="shared" si="2"/>
        <v>0</v>
      </c>
      <c r="N24" s="151">
        <f>[1]Субсидия_факт!CX26</f>
        <v>0</v>
      </c>
      <c r="O24" s="948">
        <f t="shared" si="41"/>
        <v>0</v>
      </c>
      <c r="P24" s="292">
        <f t="shared" si="14"/>
        <v>0</v>
      </c>
      <c r="Q24" s="292">
        <f t="shared" si="15"/>
        <v>0</v>
      </c>
      <c r="R24" s="875">
        <f>[1]Субсидия_факт!CZ26</f>
        <v>0</v>
      </c>
      <c r="S24" s="1397">
        <f t="shared" si="42"/>
        <v>0</v>
      </c>
      <c r="T24" s="1073">
        <f>[1]Субсидия_факт!FB26</f>
        <v>1637460</v>
      </c>
      <c r="U24" s="1360"/>
      <c r="V24" s="1357">
        <f t="shared" si="16"/>
        <v>1637460</v>
      </c>
      <c r="W24" s="1357">
        <f t="shared" si="17"/>
        <v>0</v>
      </c>
      <c r="X24" s="1358">
        <f>[1]Субсидия_факт!FD26</f>
        <v>0</v>
      </c>
      <c r="Y24" s="1369"/>
      <c r="Z24" s="151">
        <f>[1]Субсидия_факт!FN26</f>
        <v>0</v>
      </c>
      <c r="AA24" s="753"/>
      <c r="AB24" s="292">
        <f t="shared" si="18"/>
        <v>0</v>
      </c>
      <c r="AC24" s="292">
        <f t="shared" si="19"/>
        <v>0</v>
      </c>
      <c r="AD24" s="875">
        <f>[1]Субсидия_факт!FP26</f>
        <v>0</v>
      </c>
      <c r="AE24" s="294"/>
      <c r="AF24" s="151">
        <f>[1]Субсидия_факт!GT26</f>
        <v>0</v>
      </c>
      <c r="AG24" s="753"/>
      <c r="AH24" s="292">
        <f t="shared" si="20"/>
        <v>0</v>
      </c>
      <c r="AI24" s="292">
        <f t="shared" si="21"/>
        <v>0</v>
      </c>
      <c r="AJ24" s="875">
        <f>[1]Субсидия_факт!GV26</f>
        <v>0</v>
      </c>
      <c r="AK24" s="294"/>
      <c r="AL24" s="151">
        <f>[1]Субсидия_факт!HH26</f>
        <v>0</v>
      </c>
      <c r="AM24" s="753"/>
      <c r="AN24" s="292">
        <f t="shared" si="22"/>
        <v>0</v>
      </c>
      <c r="AO24" s="292">
        <f t="shared" si="23"/>
        <v>0</v>
      </c>
      <c r="AP24" s="875">
        <f>[1]Субсидия_факт!HJ26</f>
        <v>0</v>
      </c>
      <c r="AQ24" s="294"/>
      <c r="AR24" s="151">
        <f>[1]Субсидия_факт!IB26</f>
        <v>8467789.5800000001</v>
      </c>
      <c r="AS24" s="753"/>
      <c r="AT24" s="292">
        <f t="shared" si="24"/>
        <v>8467789.5800000001</v>
      </c>
      <c r="AU24" s="292">
        <f t="shared" si="25"/>
        <v>0</v>
      </c>
      <c r="AV24" s="875">
        <f>[1]Субсидия_факт!ID26</f>
        <v>0</v>
      </c>
      <c r="AW24" s="294"/>
      <c r="AX24" s="1073">
        <f>[1]Субсидия_факт!IZ26</f>
        <v>0</v>
      </c>
      <c r="AY24" s="1074"/>
      <c r="AZ24" s="1357">
        <f t="shared" si="26"/>
        <v>0</v>
      </c>
      <c r="BA24" s="1357"/>
      <c r="BB24" s="1358">
        <f>[1]Субсидия_факт!JB26</f>
        <v>0</v>
      </c>
      <c r="BC24" s="1359">
        <f t="shared" si="27"/>
        <v>0</v>
      </c>
      <c r="BD24" s="151">
        <f>[1]Субсидия_факт!JL26</f>
        <v>0</v>
      </c>
      <c r="BE24" s="753"/>
      <c r="BF24" s="292">
        <f t="shared" si="28"/>
        <v>0</v>
      </c>
      <c r="BG24" s="292"/>
      <c r="BH24" s="875">
        <f>[1]Субсидия_факт!JN26</f>
        <v>0</v>
      </c>
      <c r="BI24" s="294"/>
      <c r="BJ24" s="151">
        <f>[1]Субсидия_факт!JR26</f>
        <v>0</v>
      </c>
      <c r="BK24" s="753"/>
      <c r="BL24" s="292">
        <f t="shared" si="29"/>
        <v>0</v>
      </c>
      <c r="BM24" s="292"/>
      <c r="BN24" s="875">
        <f>[1]Субсидия_факт!JT26</f>
        <v>0</v>
      </c>
      <c r="BO24" s="294"/>
      <c r="BP24" s="151">
        <f>[1]Субсидия_факт!JZ26</f>
        <v>0</v>
      </c>
      <c r="BQ24" s="753"/>
      <c r="BR24" s="292">
        <f t="shared" si="30"/>
        <v>0</v>
      </c>
      <c r="BS24" s="292">
        <f t="shared" si="31"/>
        <v>0</v>
      </c>
      <c r="BT24" s="875">
        <f>[1]Субсидия_факт!KB26</f>
        <v>0</v>
      </c>
      <c r="BU24" s="294"/>
      <c r="BV24" s="151">
        <f>[1]Субсидия_факт!KF26</f>
        <v>0</v>
      </c>
      <c r="BW24" s="948"/>
      <c r="BX24" s="292">
        <f t="shared" si="32"/>
        <v>0</v>
      </c>
      <c r="BY24" s="292">
        <f t="shared" si="33"/>
        <v>0</v>
      </c>
      <c r="BZ24" s="875">
        <f>[1]Субсидия_факт!KH26</f>
        <v>0</v>
      </c>
      <c r="CA24" s="294"/>
      <c r="CB24" s="151">
        <f>[1]Субсидия_факт!KX26</f>
        <v>701837.81</v>
      </c>
      <c r="CC24" s="948">
        <f t="shared" si="5"/>
        <v>701837.81</v>
      </c>
      <c r="CD24" s="292">
        <f t="shared" si="34"/>
        <v>701837.81</v>
      </c>
      <c r="CE24" s="292">
        <f t="shared" si="35"/>
        <v>701837.81</v>
      </c>
      <c r="CF24" s="875">
        <f>[1]Субсидия_факт!KZ26</f>
        <v>0</v>
      </c>
      <c r="CG24" s="1397">
        <f t="shared" si="36"/>
        <v>0</v>
      </c>
      <c r="CH24" s="151">
        <f>[1]Субсидия_факт!LD26</f>
        <v>2406400</v>
      </c>
      <c r="CI24" s="753">
        <v>936236.71</v>
      </c>
      <c r="CJ24" s="292">
        <f t="shared" si="38"/>
        <v>2406400</v>
      </c>
      <c r="CK24" s="292">
        <f t="shared" si="39"/>
        <v>936236.71</v>
      </c>
      <c r="CL24" s="875">
        <f>[1]Субсидия_факт!LF26</f>
        <v>0</v>
      </c>
      <c r="CM24" s="1397">
        <f t="shared" si="40"/>
        <v>0</v>
      </c>
    </row>
    <row r="25" spans="1:91" s="152" customFormat="1" ht="21" customHeight="1" x14ac:dyDescent="0.3">
      <c r="A25" s="153" t="s">
        <v>96</v>
      </c>
      <c r="B25" s="148">
        <f t="shared" si="6"/>
        <v>16869043.329999998</v>
      </c>
      <c r="C25" s="148">
        <f t="shared" si="7"/>
        <v>4269685.41</v>
      </c>
      <c r="D25" s="501">
        <f t="shared" si="8"/>
        <v>13515062.58</v>
      </c>
      <c r="E25" s="501">
        <f t="shared" si="9"/>
        <v>2260949.41</v>
      </c>
      <c r="F25" s="501">
        <f t="shared" si="10"/>
        <v>3353980.75</v>
      </c>
      <c r="G25" s="501">
        <f t="shared" si="11"/>
        <v>2008736</v>
      </c>
      <c r="H25" s="151">
        <f>[1]Субсидия_факт!DJ27</f>
        <v>16375.510000000009</v>
      </c>
      <c r="I25" s="948">
        <f t="shared" si="1"/>
        <v>16375.510000000009</v>
      </c>
      <c r="J25" s="292">
        <f t="shared" si="12"/>
        <v>0</v>
      </c>
      <c r="K25" s="292">
        <f t="shared" si="13"/>
        <v>0</v>
      </c>
      <c r="L25" s="875">
        <f>[1]Субсидия_факт!DL27</f>
        <v>16375.510000000009</v>
      </c>
      <c r="M25" s="1397">
        <f t="shared" si="2"/>
        <v>16375.510000000009</v>
      </c>
      <c r="N25" s="151">
        <f>[1]Субсидия_факт!CX27</f>
        <v>0</v>
      </c>
      <c r="O25" s="948">
        <f t="shared" si="41"/>
        <v>0</v>
      </c>
      <c r="P25" s="292">
        <f t="shared" si="14"/>
        <v>0</v>
      </c>
      <c r="Q25" s="292">
        <f t="shared" si="15"/>
        <v>0</v>
      </c>
      <c r="R25" s="875">
        <f>[1]Субсидия_факт!CZ27</f>
        <v>0</v>
      </c>
      <c r="S25" s="1397">
        <f t="shared" si="42"/>
        <v>0</v>
      </c>
      <c r="T25" s="1073">
        <f>[1]Субсидия_факт!FB27</f>
        <v>1176000</v>
      </c>
      <c r="U25" s="1360"/>
      <c r="V25" s="1357">
        <f t="shared" si="16"/>
        <v>490000</v>
      </c>
      <c r="W25" s="1357">
        <f t="shared" si="17"/>
        <v>0</v>
      </c>
      <c r="X25" s="1358">
        <f>[1]Субсидия_факт!FD27</f>
        <v>686000</v>
      </c>
      <c r="Y25" s="1369"/>
      <c r="Z25" s="151">
        <f>[1]Субсидия_факт!FN27</f>
        <v>0</v>
      </c>
      <c r="AA25" s="753"/>
      <c r="AB25" s="292">
        <f t="shared" si="18"/>
        <v>0</v>
      </c>
      <c r="AC25" s="292">
        <f t="shared" si="19"/>
        <v>0</v>
      </c>
      <c r="AD25" s="875">
        <f>[1]Субсидия_факт!FP27</f>
        <v>0</v>
      </c>
      <c r="AE25" s="294"/>
      <c r="AF25" s="151">
        <f>[1]Субсидия_факт!GT27</f>
        <v>0</v>
      </c>
      <c r="AG25" s="753"/>
      <c r="AH25" s="292">
        <f t="shared" si="20"/>
        <v>0</v>
      </c>
      <c r="AI25" s="292">
        <f t="shared" si="21"/>
        <v>0</v>
      </c>
      <c r="AJ25" s="875">
        <f>[1]Субсидия_факт!GV27</f>
        <v>0</v>
      </c>
      <c r="AK25" s="294"/>
      <c r="AL25" s="151">
        <f>[1]Субсидия_факт!HH27</f>
        <v>0</v>
      </c>
      <c r="AM25" s="753"/>
      <c r="AN25" s="292">
        <f t="shared" si="22"/>
        <v>0</v>
      </c>
      <c r="AO25" s="292">
        <f t="shared" si="23"/>
        <v>0</v>
      </c>
      <c r="AP25" s="875">
        <f>[1]Субсидия_факт!HJ27</f>
        <v>0</v>
      </c>
      <c r="AQ25" s="294"/>
      <c r="AR25" s="151">
        <f>[1]Субсидия_факт!IB27</f>
        <v>10293719.050000001</v>
      </c>
      <c r="AS25" s="753"/>
      <c r="AT25" s="292">
        <f t="shared" si="24"/>
        <v>10293719.050000001</v>
      </c>
      <c r="AU25" s="292">
        <f t="shared" si="25"/>
        <v>0</v>
      </c>
      <c r="AV25" s="875">
        <f>[1]Субсидия_факт!ID27</f>
        <v>0</v>
      </c>
      <c r="AW25" s="294"/>
      <c r="AX25" s="1073">
        <f>[1]Субсидия_факт!IZ27</f>
        <v>0</v>
      </c>
      <c r="AY25" s="1074"/>
      <c r="AZ25" s="1357">
        <f t="shared" si="26"/>
        <v>0</v>
      </c>
      <c r="BA25" s="1357"/>
      <c r="BB25" s="1358">
        <f>[1]Субсидия_факт!JB27</f>
        <v>0</v>
      </c>
      <c r="BC25" s="1359">
        <f t="shared" si="27"/>
        <v>0</v>
      </c>
      <c r="BD25" s="151">
        <f>[1]Субсидия_факт!JL27</f>
        <v>0</v>
      </c>
      <c r="BE25" s="753"/>
      <c r="BF25" s="292">
        <f t="shared" si="28"/>
        <v>0</v>
      </c>
      <c r="BG25" s="292"/>
      <c r="BH25" s="875">
        <f>[1]Субсидия_факт!JN27</f>
        <v>0</v>
      </c>
      <c r="BI25" s="294"/>
      <c r="BJ25" s="151">
        <f>[1]Субсидия_факт!JR27</f>
        <v>0</v>
      </c>
      <c r="BK25" s="753"/>
      <c r="BL25" s="292">
        <f t="shared" si="29"/>
        <v>0</v>
      </c>
      <c r="BM25" s="292"/>
      <c r="BN25" s="875">
        <f>[1]Субсидия_факт!JT27</f>
        <v>0</v>
      </c>
      <c r="BO25" s="294"/>
      <c r="BP25" s="151">
        <f>[1]Субсидия_факт!JZ27</f>
        <v>0</v>
      </c>
      <c r="BQ25" s="753"/>
      <c r="BR25" s="292">
        <f t="shared" si="30"/>
        <v>0</v>
      </c>
      <c r="BS25" s="292">
        <f t="shared" si="31"/>
        <v>0</v>
      </c>
      <c r="BT25" s="875">
        <f>[1]Субсидия_факт!KB27</f>
        <v>0</v>
      </c>
      <c r="BU25" s="294"/>
      <c r="BV25" s="151">
        <f>[1]Субсидия_факт!KF27</f>
        <v>522875</v>
      </c>
      <c r="BW25" s="948"/>
      <c r="BX25" s="292">
        <f t="shared" si="32"/>
        <v>0</v>
      </c>
      <c r="BY25" s="292">
        <f t="shared" si="33"/>
        <v>0</v>
      </c>
      <c r="BZ25" s="875">
        <f>[1]Субсидия_факт!KH27</f>
        <v>522875</v>
      </c>
      <c r="CA25" s="294"/>
      <c r="CB25" s="151">
        <f>[1]Субсидия_факт!KX27</f>
        <v>581023.77</v>
      </c>
      <c r="CC25" s="948">
        <f t="shared" si="5"/>
        <v>581023.77</v>
      </c>
      <c r="CD25" s="292">
        <f t="shared" si="34"/>
        <v>452293.53</v>
      </c>
      <c r="CE25" s="292">
        <f t="shared" si="35"/>
        <v>452293.53</v>
      </c>
      <c r="CF25" s="875">
        <f>[1]Субсидия_факт!KZ27</f>
        <v>128730.24000000001</v>
      </c>
      <c r="CG25" s="1397">
        <f t="shared" si="36"/>
        <v>128730.24000000001</v>
      </c>
      <c r="CH25" s="151">
        <f>[1]Субсидия_факт!LD27</f>
        <v>4279050</v>
      </c>
      <c r="CI25" s="753">
        <v>3672286.13</v>
      </c>
      <c r="CJ25" s="292">
        <f t="shared" si="38"/>
        <v>2279050</v>
      </c>
      <c r="CK25" s="292">
        <f t="shared" si="39"/>
        <v>1808655.88</v>
      </c>
      <c r="CL25" s="875">
        <f>[1]Субсидия_факт!LF27</f>
        <v>2000000</v>
      </c>
      <c r="CM25" s="294">
        <f>2000000-136369.75</f>
        <v>1863630.25</v>
      </c>
    </row>
    <row r="26" spans="1:91" s="256" customFormat="1" ht="21" customHeight="1" x14ac:dyDescent="0.3">
      <c r="A26" s="147" t="s">
        <v>104</v>
      </c>
      <c r="B26" s="154">
        <f t="shared" ref="B26:S26" si="43">SUM(B8:B25)</f>
        <v>208195421.25999999</v>
      </c>
      <c r="C26" s="154">
        <f t="shared" si="43"/>
        <v>60149626.360000014</v>
      </c>
      <c r="D26" s="645">
        <f t="shared" si="43"/>
        <v>163761218.24000004</v>
      </c>
      <c r="E26" s="645">
        <f t="shared" si="43"/>
        <v>53194689.690000013</v>
      </c>
      <c r="F26" s="645">
        <f t="shared" si="43"/>
        <v>44434203.019999996</v>
      </c>
      <c r="G26" s="645">
        <f t="shared" si="43"/>
        <v>6954936.6699999999</v>
      </c>
      <c r="H26" s="154">
        <f t="shared" ref="H26:M26" si="44">SUM(H8:H25)</f>
        <v>70517.830000000016</v>
      </c>
      <c r="I26" s="150">
        <f t="shared" si="44"/>
        <v>70517.830000000016</v>
      </c>
      <c r="J26" s="293">
        <f t="shared" si="44"/>
        <v>0</v>
      </c>
      <c r="K26" s="293">
        <f t="shared" si="44"/>
        <v>0</v>
      </c>
      <c r="L26" s="293">
        <f t="shared" si="44"/>
        <v>70517.830000000016</v>
      </c>
      <c r="M26" s="293">
        <f t="shared" si="44"/>
        <v>70517.830000000016</v>
      </c>
      <c r="N26" s="154">
        <f t="shared" si="43"/>
        <v>35230.540000000008</v>
      </c>
      <c r="O26" s="150">
        <f t="shared" si="43"/>
        <v>35230.540000000008</v>
      </c>
      <c r="P26" s="293">
        <f t="shared" si="43"/>
        <v>21463.43</v>
      </c>
      <c r="Q26" s="293">
        <f t="shared" si="43"/>
        <v>21463.43</v>
      </c>
      <c r="R26" s="293">
        <f t="shared" si="43"/>
        <v>13767.109999999999</v>
      </c>
      <c r="S26" s="293">
        <f t="shared" si="43"/>
        <v>13767.109999999999</v>
      </c>
      <c r="T26" s="1077">
        <f t="shared" ref="T26:Y26" si="45">SUM(T8:T25)</f>
        <v>4869020</v>
      </c>
      <c r="U26" s="1075">
        <f t="shared" si="45"/>
        <v>0</v>
      </c>
      <c r="V26" s="1361">
        <f t="shared" si="45"/>
        <v>4183020</v>
      </c>
      <c r="W26" s="1361">
        <f t="shared" si="45"/>
        <v>0</v>
      </c>
      <c r="X26" s="1361">
        <f t="shared" si="45"/>
        <v>686000</v>
      </c>
      <c r="Y26" s="1361">
        <f t="shared" si="45"/>
        <v>0</v>
      </c>
      <c r="Z26" s="154">
        <f t="shared" ref="Z26:AE26" si="46">SUM(Z8:Z25)</f>
        <v>38627734</v>
      </c>
      <c r="AA26" s="150">
        <f t="shared" si="46"/>
        <v>4612275.0200000005</v>
      </c>
      <c r="AB26" s="293">
        <f t="shared" si="46"/>
        <v>38627734</v>
      </c>
      <c r="AC26" s="293">
        <f t="shared" si="46"/>
        <v>4612275.0200000005</v>
      </c>
      <c r="AD26" s="293">
        <f t="shared" si="46"/>
        <v>0</v>
      </c>
      <c r="AE26" s="293">
        <f t="shared" si="46"/>
        <v>0</v>
      </c>
      <c r="AF26" s="154">
        <f t="shared" ref="AF26:AK26" si="47">SUM(AF8:AF25)</f>
        <v>0</v>
      </c>
      <c r="AG26" s="150">
        <f t="shared" si="47"/>
        <v>0</v>
      </c>
      <c r="AH26" s="293">
        <f t="shared" si="47"/>
        <v>0</v>
      </c>
      <c r="AI26" s="293">
        <f t="shared" si="47"/>
        <v>0</v>
      </c>
      <c r="AJ26" s="293">
        <f t="shared" si="47"/>
        <v>0</v>
      </c>
      <c r="AK26" s="293">
        <f t="shared" si="47"/>
        <v>0</v>
      </c>
      <c r="AL26" s="154">
        <f t="shared" ref="AL26:AQ26" si="48">SUM(AL8:AL25)</f>
        <v>87035</v>
      </c>
      <c r="AM26" s="150">
        <f t="shared" si="48"/>
        <v>0</v>
      </c>
      <c r="AN26" s="293">
        <f t="shared" si="48"/>
        <v>0</v>
      </c>
      <c r="AO26" s="293">
        <f t="shared" si="48"/>
        <v>0</v>
      </c>
      <c r="AP26" s="293">
        <f t="shared" si="48"/>
        <v>87035</v>
      </c>
      <c r="AQ26" s="293">
        <f t="shared" si="48"/>
        <v>0</v>
      </c>
      <c r="AR26" s="154">
        <f t="shared" ref="AR26:AW26" si="49">SUM(AR8:AR25)</f>
        <v>94678298.019999996</v>
      </c>
      <c r="AS26" s="150">
        <f t="shared" si="49"/>
        <v>724661.71</v>
      </c>
      <c r="AT26" s="293">
        <f t="shared" si="49"/>
        <v>65453214.519999996</v>
      </c>
      <c r="AU26" s="293">
        <f t="shared" si="49"/>
        <v>541151.73</v>
      </c>
      <c r="AV26" s="293">
        <f t="shared" si="49"/>
        <v>29225083.5</v>
      </c>
      <c r="AW26" s="293">
        <f t="shared" si="49"/>
        <v>183509.98</v>
      </c>
      <c r="AX26" s="1077">
        <f t="shared" ref="AX26:BC26" si="50">SUM(AX8:AX25)</f>
        <v>2098391.65</v>
      </c>
      <c r="AY26" s="1075">
        <f t="shared" si="50"/>
        <v>2098391.65</v>
      </c>
      <c r="AZ26" s="1361">
        <f t="shared" si="50"/>
        <v>0</v>
      </c>
      <c r="BA26" s="1361">
        <f t="shared" si="50"/>
        <v>0</v>
      </c>
      <c r="BB26" s="1361">
        <f t="shared" si="50"/>
        <v>2098391.65</v>
      </c>
      <c r="BC26" s="1361">
        <f t="shared" si="50"/>
        <v>2098391.65</v>
      </c>
      <c r="BD26" s="154">
        <f t="shared" ref="BD26:BI26" si="51">SUM(BD8:BD25)</f>
        <v>1670982.6600000001</v>
      </c>
      <c r="BE26" s="150">
        <f t="shared" si="51"/>
        <v>0</v>
      </c>
      <c r="BF26" s="293">
        <f t="shared" si="51"/>
        <v>0</v>
      </c>
      <c r="BG26" s="293">
        <f t="shared" si="51"/>
        <v>0</v>
      </c>
      <c r="BH26" s="293">
        <f t="shared" si="51"/>
        <v>1670982.6600000001</v>
      </c>
      <c r="BI26" s="293">
        <f t="shared" si="51"/>
        <v>0</v>
      </c>
      <c r="BJ26" s="154">
        <f t="shared" ref="BJ26:BO26" si="52">SUM(BJ8:BJ25)</f>
        <v>0</v>
      </c>
      <c r="BK26" s="150">
        <f t="shared" si="52"/>
        <v>0</v>
      </c>
      <c r="BL26" s="293">
        <f t="shared" si="52"/>
        <v>0</v>
      </c>
      <c r="BM26" s="293">
        <f t="shared" si="52"/>
        <v>0</v>
      </c>
      <c r="BN26" s="293">
        <f t="shared" si="52"/>
        <v>0</v>
      </c>
      <c r="BO26" s="293">
        <f t="shared" si="52"/>
        <v>0</v>
      </c>
      <c r="BP26" s="150">
        <f t="shared" ref="BP26:CA26" si="53">SUM(BP8:BP25)</f>
        <v>3600000</v>
      </c>
      <c r="BQ26" s="150">
        <f t="shared" si="53"/>
        <v>0</v>
      </c>
      <c r="BR26" s="293">
        <f t="shared" si="53"/>
        <v>3000000</v>
      </c>
      <c r="BS26" s="293">
        <f t="shared" si="53"/>
        <v>0</v>
      </c>
      <c r="BT26" s="293">
        <f t="shared" si="53"/>
        <v>600000</v>
      </c>
      <c r="BU26" s="293">
        <f t="shared" si="53"/>
        <v>0</v>
      </c>
      <c r="BV26" s="154">
        <f t="shared" si="53"/>
        <v>5199375</v>
      </c>
      <c r="BW26" s="150">
        <f t="shared" si="53"/>
        <v>0</v>
      </c>
      <c r="BX26" s="293">
        <f t="shared" si="53"/>
        <v>0</v>
      </c>
      <c r="BY26" s="293">
        <f t="shared" si="53"/>
        <v>0</v>
      </c>
      <c r="BZ26" s="293">
        <f t="shared" si="53"/>
        <v>5199375</v>
      </c>
      <c r="CA26" s="293">
        <f t="shared" si="53"/>
        <v>0</v>
      </c>
      <c r="CB26" s="154">
        <f t="shared" ref="CB26:CG26" si="54">SUM(CB8:CB25)</f>
        <v>9236935.5600000005</v>
      </c>
      <c r="CC26" s="150">
        <f t="shared" si="54"/>
        <v>9236935.5600000005</v>
      </c>
      <c r="CD26" s="293">
        <f t="shared" si="54"/>
        <v>8453885.2899999991</v>
      </c>
      <c r="CE26" s="293">
        <f t="shared" si="54"/>
        <v>8453885.2899999991</v>
      </c>
      <c r="CF26" s="293">
        <f t="shared" si="54"/>
        <v>783050.27</v>
      </c>
      <c r="CG26" s="293">
        <f t="shared" si="54"/>
        <v>783050.27</v>
      </c>
      <c r="CH26" s="154">
        <f t="shared" ref="CH26:CM26" si="55">SUM(CH8:CH25)</f>
        <v>48021901</v>
      </c>
      <c r="CI26" s="150">
        <f t="shared" si="55"/>
        <v>43371614.049999997</v>
      </c>
      <c r="CJ26" s="293">
        <f t="shared" si="55"/>
        <v>44021901</v>
      </c>
      <c r="CK26" s="293">
        <f t="shared" si="55"/>
        <v>39565914.219999999</v>
      </c>
      <c r="CL26" s="293">
        <f t="shared" si="55"/>
        <v>4000000</v>
      </c>
      <c r="CM26" s="293">
        <f t="shared" si="55"/>
        <v>3805699.83</v>
      </c>
    </row>
    <row r="27" spans="1:91" s="152" customFormat="1" ht="21" customHeight="1" x14ac:dyDescent="0.3">
      <c r="A27" s="252"/>
      <c r="B27" s="273"/>
      <c r="C27" s="273"/>
      <c r="D27" s="253"/>
      <c r="E27" s="253"/>
      <c r="F27" s="253"/>
      <c r="G27" s="253"/>
      <c r="H27" s="253"/>
      <c r="I27" s="253"/>
      <c r="J27" s="253"/>
      <c r="K27" s="253"/>
      <c r="L27" s="253"/>
      <c r="M27" s="253"/>
      <c r="N27" s="253"/>
      <c r="O27" s="253"/>
      <c r="P27" s="253"/>
      <c r="Q27" s="253"/>
      <c r="R27" s="253"/>
      <c r="S27" s="253"/>
      <c r="T27" s="253"/>
      <c r="U27" s="253"/>
      <c r="V27" s="253"/>
      <c r="W27" s="253"/>
      <c r="X27" s="253"/>
      <c r="Y27" s="253"/>
      <c r="Z27" s="253"/>
      <c r="AA27" s="253"/>
      <c r="AB27" s="253"/>
      <c r="AC27" s="253"/>
      <c r="AD27" s="253"/>
      <c r="AE27" s="253"/>
      <c r="AF27" s="253"/>
      <c r="AG27" s="257"/>
      <c r="AH27" s="257"/>
      <c r="AI27" s="257"/>
      <c r="AJ27" s="257"/>
      <c r="AK27" s="257"/>
      <c r="AL27" s="257"/>
      <c r="AM27" s="257"/>
      <c r="AN27" s="257"/>
      <c r="AO27" s="257"/>
      <c r="AP27" s="257"/>
      <c r="AQ27" s="257"/>
      <c r="AR27" s="257"/>
      <c r="AS27" s="257"/>
      <c r="AT27" s="257"/>
      <c r="AU27" s="257"/>
      <c r="AV27" s="257"/>
      <c r="AW27" s="257"/>
      <c r="AX27" s="257"/>
      <c r="AY27" s="257"/>
      <c r="AZ27" s="257"/>
      <c r="BA27" s="257"/>
      <c r="BB27" s="257"/>
      <c r="BC27" s="257"/>
      <c r="BD27" s="253"/>
      <c r="BE27" s="253"/>
      <c r="BF27" s="253"/>
      <c r="BG27" s="253"/>
      <c r="BH27" s="253"/>
      <c r="BI27" s="253"/>
      <c r="BJ27" s="253"/>
      <c r="BK27" s="253"/>
      <c r="BL27" s="253"/>
      <c r="BM27" s="253"/>
      <c r="BN27" s="253"/>
      <c r="BO27" s="253"/>
      <c r="BP27" s="505"/>
      <c r="BQ27" s="505"/>
      <c r="BR27" s="505"/>
      <c r="BS27" s="505"/>
      <c r="BT27" s="505"/>
      <c r="BU27" s="505"/>
      <c r="BV27" s="505"/>
      <c r="BW27" s="505"/>
      <c r="BX27" s="505"/>
      <c r="BY27" s="505"/>
      <c r="BZ27" s="505"/>
      <c r="CA27" s="505"/>
      <c r="CB27" s="253"/>
      <c r="CC27" s="253"/>
      <c r="CD27" s="253"/>
      <c r="CE27" s="253"/>
      <c r="CF27" s="253"/>
      <c r="CG27" s="253"/>
    </row>
    <row r="28" spans="1:91" s="152" customFormat="1" ht="21" customHeight="1" x14ac:dyDescent="0.3">
      <c r="A28" s="252"/>
      <c r="B28" s="253"/>
      <c r="C28" s="253"/>
      <c r="D28" s="253"/>
      <c r="E28" s="253"/>
      <c r="F28" s="253"/>
      <c r="G28" s="253"/>
      <c r="H28" s="253"/>
      <c r="I28" s="253"/>
      <c r="J28" s="253"/>
      <c r="K28" s="253"/>
      <c r="L28" s="253"/>
      <c r="M28" s="253"/>
      <c r="N28" s="253"/>
      <c r="O28" s="253"/>
      <c r="P28" s="253"/>
      <c r="Q28" s="253"/>
      <c r="R28" s="253"/>
      <c r="S28" s="253"/>
      <c r="T28" s="253"/>
      <c r="U28" s="253"/>
      <c r="V28" s="253"/>
      <c r="W28" s="253"/>
      <c r="X28" s="253"/>
      <c r="Y28" s="253"/>
      <c r="Z28" s="253"/>
      <c r="AA28" s="253"/>
      <c r="AB28" s="253"/>
      <c r="AC28" s="253"/>
      <c r="AD28" s="253"/>
      <c r="AE28" s="253"/>
      <c r="AF28" s="253"/>
      <c r="AG28" s="257"/>
      <c r="AH28" s="257"/>
      <c r="AI28" s="257"/>
      <c r="AJ28" s="257"/>
      <c r="AK28" s="257"/>
      <c r="AL28" s="257"/>
      <c r="AM28" s="257"/>
      <c r="AN28" s="257"/>
      <c r="AO28" s="257"/>
      <c r="AP28" s="257"/>
      <c r="AQ28" s="257"/>
      <c r="AR28" s="257"/>
      <c r="AS28" s="257"/>
      <c r="AT28" s="257"/>
      <c r="AU28" s="257"/>
      <c r="AV28" s="257"/>
      <c r="AW28" s="257"/>
      <c r="AX28" s="257"/>
      <c r="AY28" s="257"/>
      <c r="AZ28" s="257"/>
      <c r="BA28" s="257"/>
      <c r="BB28" s="257"/>
      <c r="BC28" s="257"/>
      <c r="BD28" s="253"/>
      <c r="BE28" s="253"/>
      <c r="BF28" s="253"/>
      <c r="BG28" s="253"/>
      <c r="BH28" s="253"/>
      <c r="BI28" s="253"/>
      <c r="BJ28" s="253"/>
      <c r="BK28" s="253"/>
      <c r="BL28" s="253"/>
      <c r="BM28" s="253"/>
      <c r="BN28" s="253"/>
      <c r="BO28" s="253"/>
      <c r="BP28" s="506"/>
      <c r="BQ28" s="506"/>
      <c r="BR28" s="506"/>
      <c r="BS28" s="506"/>
      <c r="BT28" s="506"/>
      <c r="BU28" s="506"/>
      <c r="BV28" s="506"/>
      <c r="BW28" s="506"/>
      <c r="BX28" s="506"/>
      <c r="BY28" s="506"/>
      <c r="BZ28" s="506"/>
      <c r="CA28" s="506"/>
      <c r="CB28" s="253"/>
      <c r="CC28" s="253"/>
      <c r="CD28" s="253"/>
      <c r="CE28" s="253"/>
      <c r="CF28" s="253"/>
      <c r="CG28" s="253"/>
    </row>
    <row r="29" spans="1:91" s="1303" customFormat="1" ht="21" customHeight="1" x14ac:dyDescent="0.3">
      <c r="A29" s="147" t="s">
        <v>132</v>
      </c>
      <c r="B29" s="148">
        <f t="shared" ref="B29" si="56">BD29+N29+CB29+Z29+AF29+BP29+AR29+BV29+CH29+H29+AL29+BJ29+AX29+T29</f>
        <v>2168909.48</v>
      </c>
      <c r="C29" s="148">
        <f t="shared" ref="C29" si="57">BE29+O29+CC29+AA29+AG29+BQ29+AS29+BW29+CI29+I29+AM29+BK29+AY29+U29</f>
        <v>2168909.48</v>
      </c>
      <c r="D29" s="501">
        <f t="shared" ref="D29" si="58">BF29+P29+CD29+AB29+AH29+BR29+AT29+BX29+CJ29+J29+AN29+BL29+AZ29+V29</f>
        <v>0</v>
      </c>
      <c r="E29" s="501">
        <f t="shared" ref="E29" si="59">BG29+Q29+CE29+AC29+AI29+BS29+AU29+BY29+CK29+K29+AO29+BM29+BA29+W29</f>
        <v>0</v>
      </c>
      <c r="F29" s="501">
        <f t="shared" ref="F29" si="60">BH29+R29+CF29+AD29+AJ29+BT29+AV29+BZ29+CL29+L29+AP29+BN29+BB29+X29</f>
        <v>2168909.48</v>
      </c>
      <c r="G29" s="501">
        <f t="shared" ref="G29" si="61">BI29+S29+CG29+AE29+AK29+BU29+AW29+CA29+CM29+M29+AQ29+BO29+BC29+Y29</f>
        <v>2168909.48</v>
      </c>
      <c r="H29" s="1301">
        <f>H26</f>
        <v>70517.830000000016</v>
      </c>
      <c r="I29" s="1301">
        <f t="shared" ref="I29:M29" si="62">I26</f>
        <v>70517.830000000016</v>
      </c>
      <c r="J29" s="1301">
        <f t="shared" si="62"/>
        <v>0</v>
      </c>
      <c r="K29" s="1301">
        <f t="shared" si="62"/>
        <v>0</v>
      </c>
      <c r="L29" s="1301">
        <f t="shared" si="62"/>
        <v>70517.830000000016</v>
      </c>
      <c r="M29" s="1301">
        <f t="shared" si="62"/>
        <v>70517.830000000016</v>
      </c>
      <c r="N29" s="1301"/>
      <c r="O29" s="1301"/>
      <c r="P29" s="1301"/>
      <c r="Q29" s="1301"/>
      <c r="R29" s="1301"/>
      <c r="S29" s="1301"/>
      <c r="T29" s="1301"/>
      <c r="U29" s="1301"/>
      <c r="V29" s="1301"/>
      <c r="W29" s="1301"/>
      <c r="X29" s="1301"/>
      <c r="Y29" s="1301"/>
      <c r="Z29" s="1301"/>
      <c r="AA29" s="1301"/>
      <c r="AB29" s="1301"/>
      <c r="AC29" s="1301"/>
      <c r="AD29" s="1301"/>
      <c r="AE29" s="1301"/>
      <c r="AF29" s="1301"/>
      <c r="AG29" s="1301"/>
      <c r="AH29" s="1301"/>
      <c r="AI29" s="1301"/>
      <c r="AJ29" s="1301"/>
      <c r="AK29" s="1301"/>
      <c r="AL29" s="1301"/>
      <c r="AM29" s="1301"/>
      <c r="AN29" s="1301"/>
      <c r="AO29" s="1301"/>
      <c r="AP29" s="1301"/>
      <c r="AQ29" s="1301"/>
      <c r="AR29" s="1301"/>
      <c r="AS29" s="1301"/>
      <c r="AT29" s="1301"/>
      <c r="AU29" s="1301"/>
      <c r="AV29" s="1301"/>
      <c r="AW29" s="1301"/>
      <c r="AX29" s="1362">
        <f>AX26</f>
        <v>2098391.65</v>
      </c>
      <c r="AY29" s="1362">
        <f t="shared" ref="AY29:BC29" si="63">AY26</f>
        <v>2098391.65</v>
      </c>
      <c r="AZ29" s="1362">
        <f t="shared" si="63"/>
        <v>0</v>
      </c>
      <c r="BA29" s="1362">
        <f t="shared" si="63"/>
        <v>0</v>
      </c>
      <c r="BB29" s="1362">
        <f t="shared" si="63"/>
        <v>2098391.65</v>
      </c>
      <c r="BC29" s="1362">
        <f t="shared" si="63"/>
        <v>2098391.65</v>
      </c>
      <c r="BD29" s="1301"/>
      <c r="BE29" s="1301"/>
      <c r="BF29" s="1301"/>
      <c r="BG29" s="1301"/>
      <c r="BH29" s="1301"/>
      <c r="BI29" s="1301"/>
      <c r="BJ29" s="1301">
        <f t="shared" ref="BJ29:BO29" si="64">BJ26</f>
        <v>0</v>
      </c>
      <c r="BK29" s="1301">
        <f t="shared" si="64"/>
        <v>0</v>
      </c>
      <c r="BL29" s="1301">
        <f t="shared" si="64"/>
        <v>0</v>
      </c>
      <c r="BM29" s="1301">
        <f t="shared" si="64"/>
        <v>0</v>
      </c>
      <c r="BN29" s="1301">
        <f t="shared" si="64"/>
        <v>0</v>
      </c>
      <c r="BO29" s="1301">
        <f t="shared" si="64"/>
        <v>0</v>
      </c>
      <c r="BP29" s="1302"/>
      <c r="BQ29" s="1302"/>
      <c r="BR29" s="1302"/>
      <c r="BS29" s="1302"/>
      <c r="BT29" s="1302"/>
      <c r="BU29" s="1302"/>
      <c r="BV29" s="1302"/>
      <c r="BW29" s="1302"/>
      <c r="BX29" s="1302"/>
      <c r="BY29" s="1302"/>
      <c r="BZ29" s="1302"/>
      <c r="CA29" s="1302"/>
      <c r="CB29" s="1301"/>
      <c r="CC29" s="1301"/>
      <c r="CD29" s="1301"/>
      <c r="CE29" s="1301"/>
      <c r="CF29" s="1301"/>
      <c r="CG29" s="1301"/>
    </row>
    <row r="30" spans="1:91" s="152" customFormat="1" ht="21" customHeight="1" x14ac:dyDescent="0.3">
      <c r="A30" s="252"/>
      <c r="B30" s="253"/>
      <c r="C30" s="253"/>
      <c r="D30" s="253"/>
      <c r="E30" s="253"/>
      <c r="F30" s="253"/>
      <c r="G30" s="253"/>
      <c r="H30" s="253"/>
      <c r="I30" s="253"/>
      <c r="J30" s="253"/>
      <c r="K30" s="253"/>
      <c r="L30" s="253"/>
      <c r="M30" s="253"/>
      <c r="N30" s="253"/>
      <c r="O30" s="253"/>
      <c r="P30" s="253"/>
      <c r="Q30" s="253"/>
      <c r="R30" s="253"/>
      <c r="S30" s="253"/>
      <c r="T30" s="253"/>
      <c r="U30" s="253"/>
      <c r="V30" s="253"/>
      <c r="W30" s="253"/>
      <c r="X30" s="253"/>
      <c r="Y30" s="253"/>
      <c r="Z30" s="253"/>
      <c r="AA30" s="253"/>
      <c r="AB30" s="253"/>
      <c r="AC30" s="253"/>
      <c r="AD30" s="253"/>
      <c r="AE30" s="253"/>
      <c r="AF30" s="253"/>
      <c r="AG30" s="253"/>
      <c r="AH30" s="253"/>
      <c r="AI30" s="253"/>
      <c r="AJ30" s="253"/>
      <c r="AK30" s="253"/>
      <c r="AL30" s="253"/>
      <c r="AM30" s="253"/>
      <c r="AN30" s="253"/>
      <c r="AO30" s="253"/>
      <c r="AP30" s="253"/>
      <c r="AQ30" s="253"/>
      <c r="AR30" s="253"/>
      <c r="AS30" s="253"/>
      <c r="AT30" s="253"/>
      <c r="AU30" s="253"/>
      <c r="AV30" s="253"/>
      <c r="AW30" s="253"/>
      <c r="AX30" s="253"/>
      <c r="AY30" s="253"/>
      <c r="AZ30" s="253"/>
      <c r="BA30" s="253"/>
      <c r="BB30" s="253"/>
      <c r="BC30" s="253"/>
      <c r="BD30" s="253"/>
      <c r="BE30" s="253"/>
      <c r="BF30" s="253"/>
      <c r="BG30" s="253"/>
      <c r="BH30" s="253"/>
      <c r="BI30" s="253"/>
      <c r="BJ30" s="253"/>
      <c r="BK30" s="253"/>
      <c r="BL30" s="253"/>
      <c r="BM30" s="253"/>
      <c r="BN30" s="253"/>
      <c r="BO30" s="253"/>
      <c r="BP30" s="253"/>
      <c r="BQ30" s="253"/>
      <c r="BR30" s="253"/>
      <c r="BS30" s="253"/>
      <c r="BT30" s="253"/>
      <c r="BU30" s="253"/>
      <c r="BV30" s="253"/>
      <c r="BW30" s="253"/>
      <c r="BX30" s="253"/>
      <c r="BY30" s="253"/>
      <c r="BZ30" s="253"/>
      <c r="CA30" s="253"/>
      <c r="CB30" s="253"/>
      <c r="CC30" s="253"/>
      <c r="CD30" s="253"/>
      <c r="CE30" s="253"/>
      <c r="CF30" s="253"/>
      <c r="CG30" s="253"/>
    </row>
    <row r="31" spans="1:91" s="152" customFormat="1" ht="21" customHeight="1" x14ac:dyDescent="0.3">
      <c r="A31" s="252"/>
      <c r="B31" s="253"/>
      <c r="C31" s="253"/>
      <c r="D31" s="253"/>
      <c r="E31" s="253"/>
      <c r="F31" s="253"/>
      <c r="G31" s="253"/>
      <c r="H31" s="253"/>
      <c r="I31" s="253"/>
      <c r="J31" s="253"/>
      <c r="K31" s="253"/>
      <c r="L31" s="253"/>
      <c r="M31" s="253"/>
      <c r="N31" s="253"/>
      <c r="O31" s="253"/>
      <c r="P31" s="253"/>
      <c r="Q31" s="253"/>
      <c r="R31" s="253"/>
      <c r="S31" s="253"/>
      <c r="T31" s="253"/>
      <c r="U31" s="253"/>
      <c r="V31" s="253"/>
      <c r="W31" s="253"/>
      <c r="X31" s="253"/>
      <c r="Y31" s="253"/>
      <c r="Z31" s="253"/>
      <c r="AA31" s="253"/>
      <c r="AB31" s="253"/>
      <c r="AC31" s="253"/>
      <c r="AD31" s="253"/>
      <c r="AE31" s="253"/>
      <c r="AF31" s="253"/>
      <c r="AG31" s="253"/>
      <c r="AH31" s="253"/>
      <c r="AI31" s="253"/>
      <c r="AJ31" s="253"/>
      <c r="AK31" s="253"/>
      <c r="AL31" s="253"/>
      <c r="AM31" s="253"/>
      <c r="AN31" s="253"/>
      <c r="AO31" s="253"/>
      <c r="AP31" s="253"/>
      <c r="AQ31" s="253"/>
      <c r="AR31" s="253"/>
      <c r="AS31" s="253"/>
      <c r="AT31" s="253"/>
      <c r="AU31" s="253"/>
      <c r="AV31" s="253"/>
      <c r="AW31" s="253"/>
      <c r="AX31" s="253"/>
      <c r="AY31" s="253"/>
      <c r="AZ31" s="253"/>
      <c r="BA31" s="253"/>
      <c r="BB31" s="253"/>
      <c r="BC31" s="253"/>
      <c r="BD31" s="253"/>
      <c r="BE31" s="253"/>
      <c r="BF31" s="253"/>
      <c r="BG31" s="253"/>
      <c r="BH31" s="253"/>
      <c r="BI31" s="253"/>
      <c r="BJ31" s="253"/>
      <c r="BK31" s="253"/>
      <c r="BL31" s="253"/>
      <c r="BM31" s="253"/>
      <c r="BN31" s="253"/>
      <c r="BO31" s="253"/>
      <c r="BP31" s="507"/>
      <c r="BQ31" s="507"/>
      <c r="BR31" s="507"/>
      <c r="BS31" s="507"/>
      <c r="BT31" s="507"/>
      <c r="BU31" s="507"/>
      <c r="BV31" s="507"/>
      <c r="BW31" s="507"/>
      <c r="BX31" s="507"/>
      <c r="BY31" s="507"/>
      <c r="BZ31" s="507"/>
      <c r="CA31" s="507"/>
      <c r="CB31" s="253"/>
      <c r="CC31" s="253"/>
      <c r="CD31" s="253"/>
      <c r="CE31" s="253"/>
      <c r="CF31" s="253"/>
      <c r="CG31" s="253"/>
    </row>
    <row r="32" spans="1:91" s="152" customFormat="1" ht="21" customHeight="1" x14ac:dyDescent="0.3">
      <c r="A32" s="252"/>
      <c r="B32" s="253"/>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c r="AN32" s="253"/>
      <c r="AO32" s="253"/>
      <c r="AP32" s="253"/>
      <c r="AQ32" s="253"/>
      <c r="AR32" s="253"/>
      <c r="AS32" s="253"/>
      <c r="AT32" s="253"/>
      <c r="AU32" s="253"/>
      <c r="AV32" s="253"/>
      <c r="AW32" s="253"/>
      <c r="AX32" s="253"/>
      <c r="AY32" s="253"/>
      <c r="AZ32" s="253"/>
      <c r="BA32" s="253"/>
      <c r="BB32" s="253"/>
      <c r="BC32" s="253"/>
      <c r="BD32" s="253"/>
      <c r="BE32" s="253"/>
      <c r="BF32" s="253"/>
      <c r="BG32" s="253"/>
      <c r="BH32" s="253"/>
      <c r="BI32" s="253"/>
      <c r="BJ32" s="253"/>
      <c r="BK32" s="253"/>
      <c r="BL32" s="253"/>
      <c r="BM32" s="253"/>
      <c r="BN32" s="253"/>
      <c r="BO32" s="253"/>
      <c r="BP32" s="507"/>
      <c r="BQ32" s="507"/>
      <c r="BR32" s="507"/>
      <c r="BS32" s="507"/>
      <c r="BT32" s="507"/>
      <c r="BU32" s="507"/>
      <c r="BV32" s="507"/>
      <c r="BW32" s="507"/>
      <c r="BX32" s="507"/>
      <c r="BY32" s="507"/>
      <c r="BZ32" s="507"/>
      <c r="CA32" s="507"/>
      <c r="CB32" s="253"/>
      <c r="CC32" s="253"/>
      <c r="CD32" s="253"/>
      <c r="CE32" s="253"/>
      <c r="CF32" s="253"/>
      <c r="CG32" s="253"/>
    </row>
    <row r="33" spans="1:85" s="85" customFormat="1" ht="15.6" x14ac:dyDescent="0.3">
      <c r="BP33" s="253"/>
      <c r="BQ33" s="253"/>
      <c r="BR33" s="253"/>
      <c r="BS33" s="253"/>
      <c r="BT33" s="253"/>
      <c r="BU33" s="253"/>
      <c r="BV33" s="253"/>
      <c r="BW33" s="253"/>
      <c r="BX33" s="253"/>
      <c r="BY33" s="253"/>
      <c r="BZ33" s="253"/>
      <c r="CA33" s="253"/>
    </row>
    <row r="34" spans="1:85" s="85" customFormat="1" ht="15.6" x14ac:dyDescent="0.3">
      <c r="BP34" s="421"/>
      <c r="BQ34" s="421"/>
      <c r="BR34" s="421"/>
      <c r="BS34" s="421"/>
      <c r="BT34" s="421"/>
      <c r="BU34" s="421"/>
      <c r="BV34" s="421"/>
      <c r="BW34" s="421"/>
      <c r="BX34" s="421"/>
      <c r="BY34" s="421"/>
      <c r="BZ34" s="421"/>
      <c r="CA34" s="421"/>
    </row>
    <row r="35" spans="1:85" s="1" customFormat="1" ht="15.6" x14ac:dyDescent="0.3">
      <c r="A35" s="85"/>
      <c r="B35" s="85"/>
      <c r="C35" s="85"/>
      <c r="D35" s="85"/>
      <c r="E35" s="85"/>
      <c r="F35" s="85"/>
      <c r="G35" s="85"/>
      <c r="H35" s="85"/>
      <c r="I35" s="85"/>
      <c r="J35" s="85"/>
      <c r="K35" s="85"/>
      <c r="L35" s="85"/>
      <c r="M35" s="85"/>
      <c r="BP35" s="422"/>
      <c r="BQ35" s="422"/>
      <c r="BR35" s="422"/>
      <c r="BS35" s="422"/>
      <c r="BT35" s="422"/>
      <c r="BU35" s="422"/>
      <c r="BV35" s="422"/>
      <c r="BW35" s="422"/>
      <c r="BX35" s="422"/>
      <c r="BY35" s="422"/>
      <c r="BZ35" s="422"/>
      <c r="CA35" s="422"/>
    </row>
    <row r="36" spans="1:85" ht="15.6" x14ac:dyDescent="0.3">
      <c r="A36" s="85"/>
      <c r="B36" s="85"/>
      <c r="C36" s="85"/>
      <c r="D36" s="85"/>
      <c r="E36" s="85"/>
      <c r="F36" s="85"/>
      <c r="G36" s="85"/>
      <c r="H36" s="85"/>
      <c r="I36" s="85"/>
      <c r="J36" s="85"/>
      <c r="K36" s="85"/>
      <c r="L36" s="85"/>
      <c r="M36" s="85"/>
      <c r="BP36" s="508"/>
      <c r="BQ36" s="508"/>
      <c r="BR36" s="508"/>
      <c r="BS36" s="508"/>
      <c r="BT36" s="508"/>
      <c r="BU36" s="508"/>
      <c r="BV36" s="508"/>
      <c r="BW36" s="508"/>
      <c r="BX36" s="508"/>
      <c r="BY36" s="508"/>
      <c r="BZ36" s="508"/>
      <c r="CA36" s="508"/>
    </row>
    <row r="37" spans="1:85" ht="15.6" x14ac:dyDescent="0.3">
      <c r="Z37" s="85"/>
      <c r="AA37" s="85"/>
      <c r="AB37" s="85"/>
      <c r="AC37" s="85"/>
      <c r="AD37" s="85"/>
      <c r="AE37" s="85"/>
      <c r="BP37" s="425"/>
      <c r="BQ37" s="425"/>
      <c r="BR37" s="425"/>
      <c r="BS37" s="425"/>
      <c r="BT37" s="425"/>
      <c r="BU37" s="425"/>
      <c r="BV37" s="425"/>
      <c r="BW37" s="425"/>
      <c r="BX37" s="425"/>
      <c r="BY37" s="425"/>
      <c r="BZ37" s="425"/>
      <c r="CA37" s="425"/>
    </row>
    <row r="38" spans="1:85" ht="15.6" x14ac:dyDescent="0.3">
      <c r="BP38" s="253"/>
      <c r="BQ38" s="253"/>
      <c r="BR38" s="253"/>
      <c r="BS38" s="253"/>
      <c r="BT38" s="253"/>
      <c r="BU38" s="253"/>
      <c r="BV38" s="253"/>
      <c r="BW38" s="253"/>
      <c r="BX38" s="253"/>
      <c r="BY38" s="253"/>
      <c r="BZ38" s="253"/>
      <c r="CA38" s="253"/>
    </row>
    <row r="39" spans="1:85" ht="15.6" x14ac:dyDescent="0.3">
      <c r="BP39" s="422"/>
      <c r="BQ39" s="422"/>
      <c r="BR39" s="422"/>
      <c r="BS39" s="422"/>
      <c r="BT39" s="422"/>
      <c r="BU39" s="422"/>
      <c r="BV39" s="422"/>
      <c r="BW39" s="422"/>
      <c r="BX39" s="422"/>
      <c r="BY39" s="422"/>
      <c r="BZ39" s="422"/>
      <c r="CA39" s="422"/>
      <c r="CB39" s="422"/>
      <c r="CC39" s="422"/>
      <c r="CD39" s="422"/>
      <c r="CE39" s="422"/>
      <c r="CF39" s="422"/>
      <c r="CG39" s="422"/>
    </row>
    <row r="40" spans="1:85" ht="15.6" x14ac:dyDescent="0.3">
      <c r="BP40" s="439"/>
      <c r="BQ40" s="439"/>
      <c r="BR40" s="439"/>
      <c r="BS40" s="439"/>
      <c r="BT40" s="439"/>
      <c r="BU40" s="439"/>
      <c r="BV40" s="439"/>
      <c r="BW40" s="439"/>
      <c r="BX40" s="439"/>
      <c r="BY40" s="439"/>
      <c r="BZ40" s="439"/>
      <c r="CA40" s="439"/>
    </row>
    <row r="41" spans="1:85" ht="15.6" x14ac:dyDescent="0.3">
      <c r="BP41" s="421"/>
      <c r="BQ41" s="421"/>
      <c r="BR41" s="421"/>
      <c r="BS41" s="421"/>
      <c r="BT41" s="421"/>
      <c r="BU41" s="421"/>
      <c r="BV41" s="421"/>
      <c r="BW41" s="421"/>
      <c r="BX41" s="421"/>
      <c r="BY41" s="421"/>
      <c r="BZ41" s="421"/>
      <c r="CA41" s="421"/>
    </row>
    <row r="42" spans="1:85" ht="15.6" x14ac:dyDescent="0.3">
      <c r="BP42" s="427"/>
      <c r="BQ42" s="427"/>
      <c r="BR42" s="427"/>
      <c r="BS42" s="427"/>
      <c r="BT42" s="427"/>
      <c r="BU42" s="427"/>
      <c r="BV42" s="427"/>
      <c r="BW42" s="427"/>
      <c r="BX42" s="427"/>
      <c r="BY42" s="427"/>
      <c r="BZ42" s="427"/>
      <c r="CA42" s="427"/>
    </row>
    <row r="43" spans="1:85" ht="15.6" x14ac:dyDescent="0.3">
      <c r="BP43" s="427"/>
      <c r="BQ43" s="427"/>
      <c r="BR43" s="427"/>
      <c r="BS43" s="427"/>
      <c r="BT43" s="427"/>
      <c r="BU43" s="427"/>
      <c r="BV43" s="427"/>
      <c r="BW43" s="427"/>
      <c r="BX43" s="427"/>
      <c r="BY43" s="427"/>
      <c r="BZ43" s="427"/>
      <c r="CA43" s="427"/>
    </row>
    <row r="44" spans="1:85" ht="15.6" x14ac:dyDescent="0.3">
      <c r="BP44" s="427"/>
      <c r="BQ44" s="427"/>
      <c r="BR44" s="427"/>
      <c r="BS44" s="427"/>
      <c r="BT44" s="427"/>
      <c r="BU44" s="427"/>
      <c r="BV44" s="427"/>
      <c r="BW44" s="427"/>
      <c r="BX44" s="427"/>
      <c r="BY44" s="427"/>
      <c r="BZ44" s="427"/>
      <c r="CA44" s="427"/>
    </row>
    <row r="45" spans="1:85" ht="15.6" x14ac:dyDescent="0.3">
      <c r="BP45" s="427"/>
      <c r="BQ45" s="427"/>
      <c r="BR45" s="427"/>
      <c r="BS45" s="427"/>
      <c r="BT45" s="427"/>
      <c r="BU45" s="427"/>
      <c r="BV45" s="427"/>
      <c r="BW45" s="427"/>
      <c r="BX45" s="427"/>
      <c r="BY45" s="427"/>
      <c r="BZ45" s="427"/>
      <c r="CA45" s="427"/>
    </row>
  </sheetData>
  <mergeCells count="60">
    <mergeCell ref="BJ6:BO6"/>
    <mergeCell ref="AL5:AM5"/>
    <mergeCell ref="AN5:AO5"/>
    <mergeCell ref="AP5:AQ5"/>
    <mergeCell ref="AL6:AQ6"/>
    <mergeCell ref="BJ5:BK5"/>
    <mergeCell ref="AX5:AY5"/>
    <mergeCell ref="AZ5:BA5"/>
    <mergeCell ref="BB5:BC5"/>
    <mergeCell ref="AX6:BC6"/>
    <mergeCell ref="AF6:AK6"/>
    <mergeCell ref="BH5:BI5"/>
    <mergeCell ref="BD6:BI6"/>
    <mergeCell ref="A5:A6"/>
    <mergeCell ref="B5:C6"/>
    <mergeCell ref="D5:E6"/>
    <mergeCell ref="F5:G6"/>
    <mergeCell ref="P5:Q5"/>
    <mergeCell ref="N5:O5"/>
    <mergeCell ref="H5:I5"/>
    <mergeCell ref="J5:K5"/>
    <mergeCell ref="L5:M5"/>
    <mergeCell ref="H6:M6"/>
    <mergeCell ref="N6:S6"/>
    <mergeCell ref="R5:S5"/>
    <mergeCell ref="Z6:AE6"/>
    <mergeCell ref="CJ5:CK5"/>
    <mergeCell ref="CL5:CM5"/>
    <mergeCell ref="CH6:CM6"/>
    <mergeCell ref="AR5:AS5"/>
    <mergeCell ref="AR6:AW6"/>
    <mergeCell ref="AT5:AU5"/>
    <mergeCell ref="AV5:AW5"/>
    <mergeCell ref="CB6:CG6"/>
    <mergeCell ref="BR5:BS5"/>
    <mergeCell ref="CF5:CG5"/>
    <mergeCell ref="CD5:CE5"/>
    <mergeCell ref="CB5:CC5"/>
    <mergeCell ref="BT5:BU5"/>
    <mergeCell ref="BP6:BU6"/>
    <mergeCell ref="BP5:BQ5"/>
    <mergeCell ref="BV6:CA6"/>
    <mergeCell ref="AB5:AC5"/>
    <mergeCell ref="AD5:AE5"/>
    <mergeCell ref="CH5:CI5"/>
    <mergeCell ref="AF5:AG5"/>
    <mergeCell ref="AH5:AI5"/>
    <mergeCell ref="BF5:BG5"/>
    <mergeCell ref="BD5:BE5"/>
    <mergeCell ref="BV5:BW5"/>
    <mergeCell ref="BX5:BY5"/>
    <mergeCell ref="BZ5:CA5"/>
    <mergeCell ref="AJ5:AK5"/>
    <mergeCell ref="BL5:BM5"/>
    <mergeCell ref="BN5:BO5"/>
    <mergeCell ref="T5:U5"/>
    <mergeCell ref="V5:W5"/>
    <mergeCell ref="X5:Y5"/>
    <mergeCell ref="T6:Y6"/>
    <mergeCell ref="Z5:AA5"/>
  </mergeCells>
  <phoneticPr fontId="0" type="noConversion"/>
  <pageMargins left="0.78740157480314965" right="0.39370078740157483" top="0.78740157480314965" bottom="0.78740157480314965" header="0.51181102362204722" footer="0.51181102362204722"/>
  <pageSetup paperSize="9" scale="55" fitToWidth="18" orientation="landscape" r:id="rId1"/>
  <headerFooter alignWithMargins="0">
    <oddFooter>&amp;L&amp;P&amp;R&amp;Z&amp;F&amp;A</oddFooter>
  </headerFooter>
  <colBreaks count="8" manualBreakCount="8">
    <brk id="11" max="25" man="1"/>
    <brk id="21" max="25" man="1"/>
    <brk id="31" max="25" man="1"/>
    <brk id="41" max="25" man="1"/>
    <brk id="51" max="25" man="1"/>
    <brk id="61" max="25" man="1"/>
    <brk id="71" max="25" man="1"/>
    <brk id="81" max="2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0"/>
  <dimension ref="A2:AS44"/>
  <sheetViews>
    <sheetView topLeftCell="A2" zoomScale="60" zoomScaleNormal="60" zoomScaleSheetLayoutView="40" workbookViewId="0">
      <pane xSplit="3" ySplit="6" topLeftCell="AA17" activePane="bottomRight" state="frozen"/>
      <selection activeCell="A2" sqref="A2"/>
      <selection pane="topRight" activeCell="D2" sqref="D2"/>
      <selection pane="bottomLeft" activeCell="A8" sqref="A8"/>
      <selection pane="bottomRight" activeCell="AO22" sqref="AO22"/>
    </sheetView>
  </sheetViews>
  <sheetFormatPr defaultColWidth="8.88671875" defaultRowHeight="16.8" x14ac:dyDescent="0.3"/>
  <cols>
    <col min="1" max="1" width="27" style="398" customWidth="1"/>
    <col min="2" max="2" width="26.109375" style="398" customWidth="1"/>
    <col min="3" max="3" width="25.5546875" style="398" bestFit="1" customWidth="1"/>
    <col min="4" max="5" width="25.5546875" style="398" customWidth="1"/>
    <col min="6" max="6" width="21.88671875" style="398" customWidth="1"/>
    <col min="7" max="7" width="21.5546875" style="398" customWidth="1"/>
    <col min="8" max="8" width="23.44140625" style="398" customWidth="1"/>
    <col min="9" max="9" width="25.5546875" style="398" customWidth="1"/>
    <col min="10" max="11" width="26.33203125" style="398" customWidth="1"/>
    <col min="12" max="12" width="21.5546875" style="398" customWidth="1"/>
    <col min="13" max="13" width="22.33203125" style="398" customWidth="1"/>
    <col min="14" max="14" width="23.88671875" style="398" customWidth="1"/>
    <col min="15" max="15" width="24" style="398" customWidth="1"/>
    <col min="16" max="17" width="22.44140625" style="398" customWidth="1"/>
    <col min="18" max="18" width="22.44140625" style="398" bestFit="1" customWidth="1"/>
    <col min="19" max="19" width="22.88671875" style="398" bestFit="1" customWidth="1"/>
    <col min="20" max="20" width="22.5546875" style="398" customWidth="1"/>
    <col min="21" max="21" width="24" style="398" customWidth="1"/>
    <col min="22" max="23" width="26.5546875" style="398" customWidth="1"/>
    <col min="24" max="24" width="25.5546875" style="398" customWidth="1"/>
    <col min="25" max="25" width="28.109375" style="398" bestFit="1" customWidth="1"/>
    <col min="26" max="26" width="23.44140625" style="398" customWidth="1"/>
    <col min="27" max="29" width="22.44140625" style="398" customWidth="1"/>
    <col min="30" max="30" width="22.109375" style="398" customWidth="1"/>
    <col min="31" max="31" width="22.44140625" style="398" bestFit="1" customWidth="1"/>
    <col min="32" max="32" width="24.5546875" style="398" customWidth="1"/>
    <col min="33" max="33" width="25.44140625" style="398" customWidth="1"/>
    <col min="34" max="34" width="22" style="398" customWidth="1"/>
    <col min="35" max="38" width="22.44140625" style="398" customWidth="1"/>
    <col min="39" max="39" width="20.5546875" style="398" customWidth="1"/>
    <col min="40" max="40" width="12.5546875" style="398" customWidth="1"/>
    <col min="41" max="41" width="8.88671875" style="398"/>
    <col min="42" max="42" width="25.109375" style="400" customWidth="1"/>
    <col min="43" max="43" width="18.5546875" style="400" customWidth="1"/>
    <col min="44" max="44" width="17.5546875" style="400" customWidth="1"/>
    <col min="45" max="45" width="18.5546875" style="400" customWidth="1"/>
    <col min="46" max="16384" width="8.88671875" style="398"/>
  </cols>
  <sheetData>
    <row r="2" spans="1:45" ht="48" customHeight="1" x14ac:dyDescent="0.3">
      <c r="C2" s="1808" t="s">
        <v>29</v>
      </c>
      <c r="D2" s="1808"/>
      <c r="E2" s="1808"/>
      <c r="F2" s="1808"/>
      <c r="G2" s="1808"/>
      <c r="H2" s="1808"/>
      <c r="I2" s="1809" t="str">
        <f>'Прочая  субсидия_БП'!G2</f>
        <v>ПО  СОСТОЯНИЮ  НА  1  ИЮЛЯ  2020  ГОДА</v>
      </c>
      <c r="J2" s="1809"/>
      <c r="K2" s="1809"/>
      <c r="L2" s="397"/>
      <c r="M2" s="397"/>
      <c r="P2" s="397"/>
      <c r="Q2" s="397"/>
      <c r="AD2" s="401"/>
      <c r="AE2" s="401"/>
      <c r="AH2" s="397"/>
      <c r="AI2" s="397"/>
      <c r="AJ2" s="397"/>
      <c r="AK2" s="397"/>
    </row>
    <row r="3" spans="1:45" x14ac:dyDescent="0.3">
      <c r="B3" s="397"/>
      <c r="C3" s="397"/>
      <c r="D3" s="397"/>
      <c r="E3" s="397"/>
      <c r="L3" s="397"/>
      <c r="M3" s="397"/>
      <c r="P3" s="397"/>
      <c r="Q3" s="397"/>
      <c r="AD3" s="397"/>
      <c r="AE3" s="397"/>
      <c r="AH3" s="397"/>
      <c r="AI3" s="397"/>
      <c r="AJ3" s="397"/>
      <c r="AK3" s="397"/>
    </row>
    <row r="4" spans="1:45" x14ac:dyDescent="0.3">
      <c r="AM4" s="398" t="s">
        <v>35</v>
      </c>
    </row>
    <row r="5" spans="1:45" s="414" customFormat="1" ht="257.25" customHeight="1" x14ac:dyDescent="0.25">
      <c r="A5" s="1661" t="s">
        <v>12</v>
      </c>
      <c r="B5" s="1661" t="s">
        <v>1</v>
      </c>
      <c r="C5" s="1661"/>
      <c r="D5" s="1814" t="s">
        <v>309</v>
      </c>
      <c r="E5" s="1814"/>
      <c r="F5" s="1810" t="s">
        <v>11</v>
      </c>
      <c r="G5" s="1810"/>
      <c r="H5" s="1813" t="s">
        <v>460</v>
      </c>
      <c r="I5" s="1813"/>
      <c r="J5" s="1813" t="s">
        <v>459</v>
      </c>
      <c r="K5" s="1813"/>
      <c r="L5" s="1816" t="s">
        <v>149</v>
      </c>
      <c r="M5" s="1816"/>
      <c r="N5" s="1817" t="s">
        <v>21</v>
      </c>
      <c r="O5" s="1817"/>
      <c r="P5" s="1818" t="s">
        <v>458</v>
      </c>
      <c r="Q5" s="1818"/>
      <c r="R5" s="1813" t="s">
        <v>48</v>
      </c>
      <c r="S5" s="1813"/>
      <c r="T5" s="1661" t="s">
        <v>110</v>
      </c>
      <c r="U5" s="1661"/>
      <c r="V5" s="1661" t="s">
        <v>32</v>
      </c>
      <c r="W5" s="1661"/>
      <c r="X5" s="1820" t="s">
        <v>461</v>
      </c>
      <c r="Y5" s="1821"/>
      <c r="Z5" s="1814" t="s">
        <v>215</v>
      </c>
      <c r="AA5" s="1814"/>
      <c r="AB5" s="1661" t="s">
        <v>236</v>
      </c>
      <c r="AC5" s="1661"/>
      <c r="AD5" s="1813" t="s">
        <v>102</v>
      </c>
      <c r="AE5" s="1813"/>
      <c r="AF5" s="1810" t="s">
        <v>19</v>
      </c>
      <c r="AG5" s="1810"/>
      <c r="AH5" s="1816" t="s">
        <v>31</v>
      </c>
      <c r="AI5" s="1816"/>
      <c r="AJ5" s="1810" t="s">
        <v>222</v>
      </c>
      <c r="AK5" s="1810"/>
      <c r="AL5" s="1810" t="s">
        <v>216</v>
      </c>
      <c r="AM5" s="1810"/>
      <c r="AP5" s="399"/>
      <c r="AQ5" s="399"/>
      <c r="AR5" s="399"/>
      <c r="AS5" s="399"/>
    </row>
    <row r="6" spans="1:45" ht="25.5" customHeight="1" x14ac:dyDescent="0.3">
      <c r="A6" s="1661"/>
      <c r="B6" s="1661"/>
      <c r="C6" s="1661"/>
      <c r="D6" s="1811" t="s">
        <v>308</v>
      </c>
      <c r="E6" s="1812"/>
      <c r="F6" s="1811" t="s">
        <v>176</v>
      </c>
      <c r="G6" s="1812"/>
      <c r="H6" s="1811" t="s">
        <v>178</v>
      </c>
      <c r="I6" s="1812"/>
      <c r="J6" s="1811" t="s">
        <v>179</v>
      </c>
      <c r="K6" s="1812"/>
      <c r="L6" s="1811" t="s">
        <v>177</v>
      </c>
      <c r="M6" s="1812"/>
      <c r="N6" s="1815" t="s">
        <v>180</v>
      </c>
      <c r="O6" s="1812"/>
      <c r="P6" s="1819" t="s">
        <v>217</v>
      </c>
      <c r="Q6" s="1819"/>
      <c r="R6" s="1811" t="s">
        <v>181</v>
      </c>
      <c r="S6" s="1812"/>
      <c r="T6" s="1815" t="s">
        <v>182</v>
      </c>
      <c r="U6" s="1812"/>
      <c r="V6" s="1815" t="s">
        <v>230</v>
      </c>
      <c r="W6" s="1812"/>
      <c r="X6" s="1811" t="s">
        <v>231</v>
      </c>
      <c r="Y6" s="1812"/>
      <c r="Z6" s="1811" t="s">
        <v>232</v>
      </c>
      <c r="AA6" s="1812"/>
      <c r="AB6" s="1811" t="s">
        <v>235</v>
      </c>
      <c r="AC6" s="1812"/>
      <c r="AD6" s="1815" t="s">
        <v>183</v>
      </c>
      <c r="AE6" s="1812"/>
      <c r="AF6" s="1811" t="s">
        <v>525</v>
      </c>
      <c r="AG6" s="1812"/>
      <c r="AH6" s="1811" t="s">
        <v>184</v>
      </c>
      <c r="AI6" s="1812"/>
      <c r="AJ6" s="1811" t="s">
        <v>212</v>
      </c>
      <c r="AK6" s="1815"/>
      <c r="AL6" s="1811" t="s">
        <v>185</v>
      </c>
      <c r="AM6" s="1812"/>
    </row>
    <row r="7" spans="1:45" s="248" customFormat="1" ht="25.5" customHeight="1" x14ac:dyDescent="0.25">
      <c r="A7" s="226"/>
      <c r="B7" s="396" t="s">
        <v>156</v>
      </c>
      <c r="C7" s="396" t="s">
        <v>157</v>
      </c>
      <c r="D7" s="396" t="s">
        <v>156</v>
      </c>
      <c r="E7" s="396" t="s">
        <v>157</v>
      </c>
      <c r="F7" s="396" t="s">
        <v>156</v>
      </c>
      <c r="G7" s="396" t="s">
        <v>157</v>
      </c>
      <c r="H7" s="396" t="s">
        <v>156</v>
      </c>
      <c r="I7" s="396" t="s">
        <v>157</v>
      </c>
      <c r="J7" s="396" t="s">
        <v>156</v>
      </c>
      <c r="K7" s="396" t="s">
        <v>157</v>
      </c>
      <c r="L7" s="396" t="s">
        <v>156</v>
      </c>
      <c r="M7" s="396" t="s">
        <v>157</v>
      </c>
      <c r="N7" s="396" t="s">
        <v>156</v>
      </c>
      <c r="O7" s="994" t="s">
        <v>157</v>
      </c>
      <c r="P7" s="466" t="s">
        <v>156</v>
      </c>
      <c r="Q7" s="466" t="s">
        <v>157</v>
      </c>
      <c r="R7" s="396" t="s">
        <v>156</v>
      </c>
      <c r="S7" s="396" t="s">
        <v>157</v>
      </c>
      <c r="T7" s="396" t="s">
        <v>156</v>
      </c>
      <c r="U7" s="396" t="s">
        <v>157</v>
      </c>
      <c r="V7" s="396" t="s">
        <v>156</v>
      </c>
      <c r="W7" s="396" t="s">
        <v>157</v>
      </c>
      <c r="X7" s="396" t="s">
        <v>156</v>
      </c>
      <c r="Y7" s="396" t="s">
        <v>157</v>
      </c>
      <c r="Z7" s="396" t="s">
        <v>156</v>
      </c>
      <c r="AA7" s="396" t="s">
        <v>157</v>
      </c>
      <c r="AB7" s="396" t="s">
        <v>156</v>
      </c>
      <c r="AC7" s="396" t="s">
        <v>157</v>
      </c>
      <c r="AD7" s="396" t="s">
        <v>156</v>
      </c>
      <c r="AE7" s="396" t="s">
        <v>157</v>
      </c>
      <c r="AF7" s="396" t="s">
        <v>156</v>
      </c>
      <c r="AG7" s="396" t="s">
        <v>157</v>
      </c>
      <c r="AH7" s="396" t="s">
        <v>156</v>
      </c>
      <c r="AI7" s="396" t="s">
        <v>157</v>
      </c>
      <c r="AJ7" s="396" t="s">
        <v>156</v>
      </c>
      <c r="AK7" s="396" t="s">
        <v>157</v>
      </c>
      <c r="AL7" s="396" t="s">
        <v>156</v>
      </c>
      <c r="AM7" s="396" t="s">
        <v>157</v>
      </c>
      <c r="AP7" s="402"/>
      <c r="AQ7" s="402"/>
      <c r="AR7" s="402"/>
      <c r="AS7" s="402"/>
    </row>
    <row r="8" spans="1:45" s="409" customFormat="1" ht="21" customHeight="1" x14ac:dyDescent="0.3">
      <c r="A8" s="408" t="s">
        <v>79</v>
      </c>
      <c r="B8" s="266">
        <f>AD8+AH8+L8+X8+Z8+H8+J8+R8+F8+AL8+AF8+N8+T8+V8+AJ8+P8+AB8+D8</f>
        <v>158060161</v>
      </c>
      <c r="C8" s="266">
        <f>AE8+AI8+M8+Y8+AA8+I8+K8+S8+G8+AM8+AG8+O8+U8+W8+AK8+Q8+AC8+E8</f>
        <v>92391285</v>
      </c>
      <c r="D8" s="209">
        <f>[1]Субвенция_факт!I9*1000</f>
        <v>0</v>
      </c>
      <c r="E8" s="973"/>
      <c r="F8" s="209">
        <f>[1]Субвенция_факт!J9*1000</f>
        <v>1375000</v>
      </c>
      <c r="G8" s="1630">
        <v>690000</v>
      </c>
      <c r="H8" s="209">
        <f>[1]Субвенция_факт!L9*1000</f>
        <v>4293717</v>
      </c>
      <c r="I8" s="1630">
        <v>2451300</v>
      </c>
      <c r="J8" s="209">
        <f>[1]Субвенция_факт!M9*1000</f>
        <v>1053650</v>
      </c>
      <c r="K8" s="1630">
        <v>0</v>
      </c>
      <c r="L8" s="209">
        <f>[1]Субвенция_факт!N9*1000</f>
        <v>606300</v>
      </c>
      <c r="M8" s="1630">
        <v>270000</v>
      </c>
      <c r="N8" s="209">
        <f>[1]Субвенция_факт!O9*1000</f>
        <v>50250</v>
      </c>
      <c r="O8" s="1630">
        <v>0</v>
      </c>
      <c r="P8" s="209">
        <f>[1]Субвенция_факт!Q9*1000</f>
        <v>96480</v>
      </c>
      <c r="Q8" s="1630">
        <v>0</v>
      </c>
      <c r="R8" s="209">
        <f>[1]Субвенция_факт!R9*1000</f>
        <v>1978300</v>
      </c>
      <c r="S8" s="1630">
        <v>960000</v>
      </c>
      <c r="T8" s="209">
        <f>[1]Субвенция_факт!S9*1000</f>
        <v>511300</v>
      </c>
      <c r="U8" s="1630">
        <v>300900</v>
      </c>
      <c r="V8" s="209">
        <f>[1]Субвенция_факт!T9*1000</f>
        <v>23433000</v>
      </c>
      <c r="W8" s="1630">
        <v>11730000</v>
      </c>
      <c r="X8" s="209">
        <f>[1]Субвенция_факт!U9*1000</f>
        <v>120970000</v>
      </c>
      <c r="Y8" s="1630">
        <v>74100000</v>
      </c>
      <c r="Z8" s="209">
        <f>[1]Субвенция_факт!V9*1000</f>
        <v>0</v>
      </c>
      <c r="AA8" s="747"/>
      <c r="AB8" s="209">
        <f>[1]Субвенция_факт!W9*1000</f>
        <v>4000</v>
      </c>
      <c r="AC8" s="1630">
        <v>0</v>
      </c>
      <c r="AD8" s="209">
        <f>[1]Субвенция_факт!Y9*1000</f>
        <v>1860100</v>
      </c>
      <c r="AE8" s="1630">
        <v>1265000</v>
      </c>
      <c r="AF8" s="209">
        <f>[1]Субвенция_факт!Z9*1000</f>
        <v>0</v>
      </c>
      <c r="AG8" s="747"/>
      <c r="AH8" s="209">
        <f>[1]Субвенция_факт!AA9*1000</f>
        <v>615300</v>
      </c>
      <c r="AI8" s="1630">
        <v>230000</v>
      </c>
      <c r="AJ8" s="209">
        <f>[1]Субвенция_факт!AB9*1000</f>
        <v>424594.00000000006</v>
      </c>
      <c r="AK8" s="1630">
        <v>0</v>
      </c>
      <c r="AL8" s="209">
        <f>[1]Субвенция_факт!AH9*1000</f>
        <v>788170</v>
      </c>
      <c r="AM8" s="1630">
        <v>394085</v>
      </c>
      <c r="AP8" s="641"/>
      <c r="AQ8" s="642"/>
      <c r="AR8" s="642"/>
      <c r="AS8" s="642"/>
    </row>
    <row r="9" spans="1:45" ht="21" customHeight="1" x14ac:dyDescent="0.3">
      <c r="A9" s="408" t="s">
        <v>80</v>
      </c>
      <c r="B9" s="266">
        <f t="shared" ref="B9:C27" si="0">AD9+AH9+L9+X9+Z9+H9+J9+R9+F9+AL9+AF9+N9+T9+V9+AJ9+P9+AB9+D9</f>
        <v>598167459</v>
      </c>
      <c r="C9" s="266">
        <f t="shared" ref="C9:C25" si="1">AE9+AI9+M9+Y9+AA9+I9+K9+S9+G9+AM9+AG9+O9+U9+W9+AK9+Q9+AC9+E9</f>
        <v>398372717</v>
      </c>
      <c r="D9" s="209">
        <f>[1]Субвенция_факт!I10*1000</f>
        <v>0</v>
      </c>
      <c r="E9" s="973"/>
      <c r="F9" s="209">
        <f>[1]Субвенция_факт!J10*1000</f>
        <v>1540000</v>
      </c>
      <c r="G9" s="1630">
        <v>757882</v>
      </c>
      <c r="H9" s="209">
        <f>[1]Субвенция_факт!L10*1000</f>
        <v>25700295.000000004</v>
      </c>
      <c r="I9" s="1630">
        <v>21000000</v>
      </c>
      <c r="J9" s="209">
        <f>[1]Субвенция_факт!M10*1000</f>
        <v>7703200</v>
      </c>
      <c r="K9" s="1630">
        <v>6200000</v>
      </c>
      <c r="L9" s="209">
        <f>[1]Субвенция_факт!N10*1000</f>
        <v>1149100</v>
      </c>
      <c r="M9" s="1630">
        <v>528000</v>
      </c>
      <c r="N9" s="209">
        <f>[1]Субвенция_факт!O10*1000</f>
        <v>50250</v>
      </c>
      <c r="O9" s="1630">
        <v>0</v>
      </c>
      <c r="P9" s="209">
        <f>[1]Субвенция_факт!Q10*1000</f>
        <v>1929600</v>
      </c>
      <c r="Q9" s="1630">
        <v>1072000</v>
      </c>
      <c r="R9" s="209">
        <f>[1]Субвенция_факт!R10*1000</f>
        <v>6267700</v>
      </c>
      <c r="S9" s="1630">
        <v>3000000</v>
      </c>
      <c r="T9" s="209">
        <f>[1]Субвенция_факт!S10*1000</f>
        <v>571900</v>
      </c>
      <c r="U9" s="1630">
        <v>336000</v>
      </c>
      <c r="V9" s="209">
        <f>[1]Субвенция_факт!T10*1000</f>
        <v>162809000</v>
      </c>
      <c r="W9" s="1630">
        <v>98000000</v>
      </c>
      <c r="X9" s="209">
        <f>[1]Субвенция_факт!U10*1000</f>
        <v>385077000</v>
      </c>
      <c r="Y9" s="1630">
        <v>265000000</v>
      </c>
      <c r="Z9" s="209">
        <f>[1]Субвенция_факт!V10*1000</f>
        <v>0</v>
      </c>
      <c r="AA9" s="747"/>
      <c r="AB9" s="209">
        <f>[1]Субвенция_факт!W10*1000</f>
        <v>14500</v>
      </c>
      <c r="AC9" s="1630">
        <v>500</v>
      </c>
      <c r="AD9" s="209">
        <f>[1]Субвенция_факт!Y10*1000</f>
        <v>2429300</v>
      </c>
      <c r="AE9" s="1630">
        <v>1607000</v>
      </c>
      <c r="AF9" s="209">
        <f>[1]Субвенция_факт!Z10*1000</f>
        <v>0</v>
      </c>
      <c r="AG9" s="747"/>
      <c r="AH9" s="209">
        <f>[1]Субвенция_факт!AA10*1000</f>
        <v>1173100</v>
      </c>
      <c r="AI9" s="1630">
        <v>450000</v>
      </c>
      <c r="AJ9" s="209">
        <f>[1]Субвенция_факт!AB10*1000</f>
        <v>909844</v>
      </c>
      <c r="AK9" s="1630">
        <v>0</v>
      </c>
      <c r="AL9" s="209">
        <f>[1]Субвенция_факт!AH10*1000</f>
        <v>842670</v>
      </c>
      <c r="AM9" s="1630">
        <v>421335</v>
      </c>
      <c r="AP9" s="410"/>
      <c r="AQ9" s="265"/>
      <c r="AR9" s="265"/>
      <c r="AS9" s="265"/>
    </row>
    <row r="10" spans="1:45" ht="21" customHeight="1" x14ac:dyDescent="0.3">
      <c r="A10" s="408" t="s">
        <v>81</v>
      </c>
      <c r="B10" s="266">
        <f t="shared" si="0"/>
        <v>339215745</v>
      </c>
      <c r="C10" s="266">
        <f t="shared" si="1"/>
        <v>189287383</v>
      </c>
      <c r="D10" s="209">
        <f>[1]Субвенция_факт!I11*1000</f>
        <v>100000</v>
      </c>
      <c r="E10" s="973">
        <v>100000</v>
      </c>
      <c r="F10" s="209">
        <f>[1]Субвенция_факт!J11*1000</f>
        <v>1060000</v>
      </c>
      <c r="G10" s="1630">
        <v>477908</v>
      </c>
      <c r="H10" s="209">
        <f>[1]Субвенция_факт!L11*1000</f>
        <v>11664331</v>
      </c>
      <c r="I10" s="1630">
        <v>7000000</v>
      </c>
      <c r="J10" s="209">
        <f>[1]Субвенция_факт!M11*1000</f>
        <v>2857950.0000000005</v>
      </c>
      <c r="K10" s="1630">
        <v>1494990</v>
      </c>
      <c r="L10" s="209">
        <f>[1]Субвенция_факт!N11*1000</f>
        <v>1104500</v>
      </c>
      <c r="M10" s="1630">
        <v>512400</v>
      </c>
      <c r="N10" s="209">
        <f>[1]Субвенция_факт!O11*1000</f>
        <v>50250</v>
      </c>
      <c r="O10" s="1630">
        <v>0</v>
      </c>
      <c r="P10" s="209">
        <f>[1]Субвенция_факт!Q11*1000</f>
        <v>482400</v>
      </c>
      <c r="Q10" s="1630">
        <v>312000</v>
      </c>
      <c r="R10" s="209">
        <f>[1]Субвенция_факт!R11*1000</f>
        <v>2536100</v>
      </c>
      <c r="S10" s="1630">
        <v>1200000</v>
      </c>
      <c r="T10" s="209">
        <f>[1]Субвенция_факт!S11*1000</f>
        <v>547300</v>
      </c>
      <c r="U10" s="1630">
        <v>323000</v>
      </c>
      <c r="V10" s="209">
        <f>[1]Субвенция_факт!T11*1000</f>
        <v>119597000</v>
      </c>
      <c r="W10" s="1630">
        <v>63500000</v>
      </c>
      <c r="X10" s="209">
        <f>[1]Субвенция_факт!U11*1000</f>
        <v>194300000</v>
      </c>
      <c r="Y10" s="1630">
        <v>112000000</v>
      </c>
      <c r="Z10" s="209">
        <f>[1]Субвенция_факт!V11*1000</f>
        <v>0</v>
      </c>
      <c r="AA10" s="747"/>
      <c r="AB10" s="209">
        <f>[1]Субвенция_факт!W11*1000</f>
        <v>10000</v>
      </c>
      <c r="AC10" s="1630">
        <v>0</v>
      </c>
      <c r="AD10" s="209">
        <f>[1]Субвенция_факт!Y11*1000</f>
        <v>2480800</v>
      </c>
      <c r="AE10" s="1630">
        <v>1617000</v>
      </c>
      <c r="AF10" s="209">
        <f>[1]Субвенция_факт!Z11*1000</f>
        <v>0</v>
      </c>
      <c r="AG10" s="747"/>
      <c r="AH10" s="209">
        <f>[1]Субвенция_факт!AA11*1000</f>
        <v>615100</v>
      </c>
      <c r="AI10" s="1630">
        <v>300000</v>
      </c>
      <c r="AJ10" s="209">
        <f>[1]Субвенция_факт!AB11*1000</f>
        <v>909844</v>
      </c>
      <c r="AK10" s="1630">
        <v>0</v>
      </c>
      <c r="AL10" s="209">
        <f>[1]Субвенция_факт!AH11*1000</f>
        <v>900170</v>
      </c>
      <c r="AM10" s="1630">
        <v>450085</v>
      </c>
      <c r="AP10" s="410"/>
      <c r="AQ10" s="265"/>
      <c r="AR10" s="265"/>
      <c r="AS10" s="265"/>
    </row>
    <row r="11" spans="1:45" ht="21" customHeight="1" x14ac:dyDescent="0.3">
      <c r="A11" s="408" t="s">
        <v>82</v>
      </c>
      <c r="B11" s="266">
        <f t="shared" si="0"/>
        <v>350134030</v>
      </c>
      <c r="C11" s="266">
        <f t="shared" si="1"/>
        <v>204336735</v>
      </c>
      <c r="D11" s="209">
        <f>[1]Субвенция_факт!I12*1000</f>
        <v>200000</v>
      </c>
      <c r="E11" s="973">
        <v>200000</v>
      </c>
      <c r="F11" s="209">
        <f>[1]Субвенция_факт!J12*1000</f>
        <v>2543000</v>
      </c>
      <c r="G11" s="1630">
        <v>998000</v>
      </c>
      <c r="H11" s="209">
        <f>[1]Субвенция_факт!L12*1000</f>
        <v>11232892</v>
      </c>
      <c r="I11" s="1630">
        <v>6708000</v>
      </c>
      <c r="J11" s="209">
        <f>[1]Субвенция_факт!M12*1000</f>
        <v>3449900</v>
      </c>
      <c r="K11" s="1630">
        <v>1600000</v>
      </c>
      <c r="L11" s="209">
        <f>[1]Субвенция_факт!N12*1000</f>
        <v>1280100</v>
      </c>
      <c r="M11" s="1630">
        <v>800000</v>
      </c>
      <c r="N11" s="209">
        <f>[1]Субвенция_факт!O12*1000</f>
        <v>150750</v>
      </c>
      <c r="O11" s="1630">
        <v>0</v>
      </c>
      <c r="P11" s="209">
        <f>[1]Субвенция_факт!Q12*1000</f>
        <v>96480</v>
      </c>
      <c r="Q11" s="1630">
        <v>48000</v>
      </c>
      <c r="R11" s="209">
        <f>[1]Субвенция_факт!R12*1000</f>
        <v>3161500</v>
      </c>
      <c r="S11" s="1630">
        <v>1950000</v>
      </c>
      <c r="T11" s="209">
        <f>[1]Субвенция_факт!S12*1000</f>
        <v>572600</v>
      </c>
      <c r="U11" s="1630">
        <v>336000</v>
      </c>
      <c r="V11" s="209">
        <f>[1]Субвенция_факт!T12*1000</f>
        <v>38929000</v>
      </c>
      <c r="W11" s="1630">
        <v>22300000</v>
      </c>
      <c r="X11" s="209">
        <f>[1]Субвенция_факт!U12*1000</f>
        <v>284722000</v>
      </c>
      <c r="Y11" s="1630">
        <v>167500000</v>
      </c>
      <c r="Z11" s="209">
        <f>[1]Субвенция_факт!V12*1000</f>
        <v>0</v>
      </c>
      <c r="AA11" s="747"/>
      <c r="AB11" s="209">
        <f>[1]Субвенция_факт!W12*1000</f>
        <v>4000</v>
      </c>
      <c r="AC11" s="1630">
        <v>0</v>
      </c>
      <c r="AD11" s="209">
        <f>[1]Субвенция_факт!Y12*1000</f>
        <v>1927100</v>
      </c>
      <c r="AE11" s="1630">
        <v>1281000</v>
      </c>
      <c r="AF11" s="209">
        <f>[1]Субвенция_факт!Z12*1000</f>
        <v>0</v>
      </c>
      <c r="AG11" s="747"/>
      <c r="AH11" s="209">
        <f>[1]Субвенция_факт!AA12*1000</f>
        <v>629300</v>
      </c>
      <c r="AI11" s="1630">
        <v>180000</v>
      </c>
      <c r="AJ11" s="209">
        <f>[1]Субвенция_факт!AB12*1000</f>
        <v>363938</v>
      </c>
      <c r="AK11" s="1630">
        <v>0</v>
      </c>
      <c r="AL11" s="209">
        <f>[1]Субвенция_факт!AH12*1000</f>
        <v>871470</v>
      </c>
      <c r="AM11" s="1630">
        <v>435735</v>
      </c>
      <c r="AP11" s="410"/>
      <c r="AQ11" s="265"/>
      <c r="AR11" s="265"/>
      <c r="AS11" s="265"/>
    </row>
    <row r="12" spans="1:45" ht="21" customHeight="1" x14ac:dyDescent="0.3">
      <c r="A12" s="408" t="s">
        <v>83</v>
      </c>
      <c r="B12" s="266">
        <f t="shared" si="0"/>
        <v>319604580</v>
      </c>
      <c r="C12" s="266">
        <f t="shared" si="1"/>
        <v>203530335</v>
      </c>
      <c r="D12" s="209">
        <f>[1]Субвенция_факт!I13*1000</f>
        <v>200000</v>
      </c>
      <c r="E12" s="973"/>
      <c r="F12" s="209">
        <f>[1]Субвенция_факт!J13*1000</f>
        <v>2258000</v>
      </c>
      <c r="G12" s="1630">
        <v>1128000</v>
      </c>
      <c r="H12" s="209">
        <f>[1]Субвенция_факт!L13*1000</f>
        <v>8518153</v>
      </c>
      <c r="I12" s="1630">
        <v>8300000</v>
      </c>
      <c r="J12" s="209">
        <f>[1]Субвенция_факт!M13*1000</f>
        <v>3734850</v>
      </c>
      <c r="K12" s="1630">
        <v>3546000</v>
      </c>
      <c r="L12" s="209">
        <f>[1]Субвенция_факт!N13*1000</f>
        <v>1291400</v>
      </c>
      <c r="M12" s="1630">
        <v>645600</v>
      </c>
      <c r="N12" s="209">
        <f>[1]Субвенция_факт!O13*1000</f>
        <v>50250</v>
      </c>
      <c r="O12" s="1630">
        <v>0</v>
      </c>
      <c r="P12" s="209">
        <f>[1]Субвенция_факт!Q13*1000</f>
        <v>675360</v>
      </c>
      <c r="Q12" s="1630">
        <v>336000</v>
      </c>
      <c r="R12" s="209">
        <f>[1]Субвенция_факт!R13*1000</f>
        <v>2519200</v>
      </c>
      <c r="S12" s="1630">
        <v>1065400</v>
      </c>
      <c r="T12" s="209">
        <f>[1]Субвенция_факт!S13*1000</f>
        <v>501100</v>
      </c>
      <c r="U12" s="1630">
        <v>297200</v>
      </c>
      <c r="V12" s="209">
        <f>[1]Субвенция_факт!T13*1000</f>
        <v>80011000</v>
      </c>
      <c r="W12" s="1630">
        <v>43900000</v>
      </c>
      <c r="X12" s="209">
        <f>[1]Субвенция_факт!U13*1000</f>
        <v>216369000</v>
      </c>
      <c r="Y12" s="1630">
        <v>142500000</v>
      </c>
      <c r="Z12" s="209">
        <f>[1]Субвенция_факт!V13*1000</f>
        <v>0</v>
      </c>
      <c r="AA12" s="747"/>
      <c r="AB12" s="209">
        <f>[1]Субвенция_факт!W13*1000</f>
        <v>8000</v>
      </c>
      <c r="AC12" s="1630">
        <v>0</v>
      </c>
      <c r="AD12" s="209">
        <f>[1]Субвенция_факт!Y13*1000</f>
        <v>1783400</v>
      </c>
      <c r="AE12" s="1630">
        <v>1166000</v>
      </c>
      <c r="AF12" s="209">
        <f>[1]Субвенция_факт!Z13*1000</f>
        <v>0</v>
      </c>
      <c r="AG12" s="747"/>
      <c r="AH12" s="209">
        <f>[1]Субвенция_факт!AA13*1000</f>
        <v>620300</v>
      </c>
      <c r="AI12" s="1630">
        <v>220000</v>
      </c>
      <c r="AJ12" s="209">
        <f>[1]Субвенция_факт!AB13*1000</f>
        <v>212297</v>
      </c>
      <c r="AK12" s="1630">
        <v>0</v>
      </c>
      <c r="AL12" s="209">
        <f>[1]Субвенция_факт!AH13*1000</f>
        <v>852270</v>
      </c>
      <c r="AM12" s="1630">
        <v>426135</v>
      </c>
      <c r="AP12" s="410"/>
      <c r="AQ12" s="265"/>
      <c r="AR12" s="265"/>
      <c r="AS12" s="265"/>
    </row>
    <row r="13" spans="1:45" ht="21" customHeight="1" x14ac:dyDescent="0.3">
      <c r="A13" s="408" t="s">
        <v>84</v>
      </c>
      <c r="B13" s="266">
        <f t="shared" si="0"/>
        <v>216124534</v>
      </c>
      <c r="C13" s="266">
        <f t="shared" si="1"/>
        <v>121558685</v>
      </c>
      <c r="D13" s="209">
        <f>[1]Субвенция_факт!I14*1000</f>
        <v>0</v>
      </c>
      <c r="E13" s="973"/>
      <c r="F13" s="209">
        <f>[1]Субвенция_факт!J14*1000</f>
        <v>1771000</v>
      </c>
      <c r="G13" s="1630">
        <v>885600</v>
      </c>
      <c r="H13" s="209">
        <f>[1]Субвенция_факт!L14*1000</f>
        <v>6326056</v>
      </c>
      <c r="I13" s="1630">
        <v>3250000</v>
      </c>
      <c r="J13" s="209">
        <f>[1]Субвенция_факт!M14*1000</f>
        <v>1640650</v>
      </c>
      <c r="K13" s="1630">
        <v>1000000</v>
      </c>
      <c r="L13" s="209">
        <f>[1]Субвенция_факт!N14*1000</f>
        <v>610100</v>
      </c>
      <c r="M13" s="1630">
        <v>380000</v>
      </c>
      <c r="N13" s="209">
        <f>[1]Субвенция_факт!O14*1000</f>
        <v>100500</v>
      </c>
      <c r="O13" s="1630">
        <v>0</v>
      </c>
      <c r="P13" s="209">
        <f>[1]Субвенция_факт!Q14*1000</f>
        <v>385920</v>
      </c>
      <c r="Q13" s="1630">
        <v>192000</v>
      </c>
      <c r="R13" s="209">
        <f>[1]Субвенция_факт!R14*1000</f>
        <v>1943100</v>
      </c>
      <c r="S13" s="1630">
        <v>1250000</v>
      </c>
      <c r="T13" s="209">
        <f>[1]Субвенция_факт!S14*1000</f>
        <v>565400</v>
      </c>
      <c r="U13" s="1630">
        <v>339400</v>
      </c>
      <c r="V13" s="209">
        <f>[1]Субвенция_факт!T14*1000</f>
        <v>31930000</v>
      </c>
      <c r="W13" s="1630">
        <v>13370000</v>
      </c>
      <c r="X13" s="209">
        <f>[1]Субвенция_факт!U14*1000</f>
        <v>167106000</v>
      </c>
      <c r="Y13" s="1630">
        <v>98800000</v>
      </c>
      <c r="Z13" s="209">
        <f>[1]Субвенция_факт!V14*1000</f>
        <v>0</v>
      </c>
      <c r="AA13" s="747"/>
      <c r="AB13" s="209">
        <f>[1]Субвенция_факт!W14*1000</f>
        <v>3000</v>
      </c>
      <c r="AC13" s="1630">
        <v>0</v>
      </c>
      <c r="AD13" s="209">
        <f>[1]Субвенция_факт!Y14*1000</f>
        <v>2006000</v>
      </c>
      <c r="AE13" s="1630">
        <v>1302000</v>
      </c>
      <c r="AF13" s="209">
        <f>[1]Субвенция_факт!Z14*1000</f>
        <v>0</v>
      </c>
      <c r="AG13" s="747"/>
      <c r="AH13" s="209">
        <f>[1]Субвенция_факт!AA14*1000</f>
        <v>573500</v>
      </c>
      <c r="AI13" s="1630">
        <v>390000</v>
      </c>
      <c r="AJ13" s="209">
        <f>[1]Субвенция_факт!AB14*1000</f>
        <v>363938</v>
      </c>
      <c r="AK13" s="1630">
        <v>0</v>
      </c>
      <c r="AL13" s="209">
        <f>[1]Субвенция_факт!AH14*1000</f>
        <v>799370</v>
      </c>
      <c r="AM13" s="1630">
        <v>399685</v>
      </c>
      <c r="AP13" s="410"/>
      <c r="AQ13" s="265"/>
      <c r="AR13" s="265"/>
      <c r="AS13" s="265"/>
    </row>
    <row r="14" spans="1:45" ht="21" customHeight="1" x14ac:dyDescent="0.3">
      <c r="A14" s="408" t="s">
        <v>85</v>
      </c>
      <c r="B14" s="266">
        <f t="shared" si="0"/>
        <v>320814693</v>
      </c>
      <c r="C14" s="266">
        <f t="shared" si="1"/>
        <v>194199083</v>
      </c>
      <c r="D14" s="209">
        <f>[1]Субвенция_факт!I15*1000</f>
        <v>0</v>
      </c>
      <c r="E14" s="973"/>
      <c r="F14" s="209">
        <f>[1]Субвенция_факт!J15*1000</f>
        <v>2010000</v>
      </c>
      <c r="G14" s="1630">
        <v>1004598</v>
      </c>
      <c r="H14" s="209">
        <f>[1]Субвенция_факт!L15*1000</f>
        <v>8372393</v>
      </c>
      <c r="I14" s="1630">
        <v>7950000</v>
      </c>
      <c r="J14" s="209">
        <f>[1]Субвенция_факт!M15*1000</f>
        <v>2101400</v>
      </c>
      <c r="K14" s="1630">
        <v>1000000</v>
      </c>
      <c r="L14" s="209">
        <f>[1]Субвенция_факт!N15*1000</f>
        <v>1149800</v>
      </c>
      <c r="M14" s="1630">
        <v>800000</v>
      </c>
      <c r="N14" s="209">
        <f>[1]Субвенция_факт!O15*1000</f>
        <v>201000</v>
      </c>
      <c r="O14" s="1630">
        <v>0</v>
      </c>
      <c r="P14" s="209">
        <f>[1]Субвенция_факт!Q15*1000</f>
        <v>96480</v>
      </c>
      <c r="Q14" s="1630">
        <v>96000</v>
      </c>
      <c r="R14" s="209">
        <f>[1]Субвенция_факт!R15*1000</f>
        <v>3095500</v>
      </c>
      <c r="S14" s="1630">
        <v>1600000</v>
      </c>
      <c r="T14" s="209">
        <f>[1]Субвенция_факт!S15*1000</f>
        <v>501600</v>
      </c>
      <c r="U14" s="1630">
        <v>307400</v>
      </c>
      <c r="V14" s="209">
        <f>[1]Субвенция_факт!T15*1000</f>
        <v>83968000</v>
      </c>
      <c r="W14" s="1630">
        <v>43800000</v>
      </c>
      <c r="X14" s="209">
        <f>[1]Субвенция_факт!U15*1000</f>
        <v>215800000</v>
      </c>
      <c r="Y14" s="1630">
        <v>135900000</v>
      </c>
      <c r="Z14" s="209">
        <f>[1]Субвенция_факт!V15*1000</f>
        <v>0</v>
      </c>
      <c r="AA14" s="747"/>
      <c r="AB14" s="209">
        <f>[1]Субвенция_факт!W15*1000</f>
        <v>1500</v>
      </c>
      <c r="AC14" s="1630">
        <v>0</v>
      </c>
      <c r="AD14" s="209">
        <f>[1]Субвенция_факт!Y15*1000</f>
        <v>1653200</v>
      </c>
      <c r="AE14" s="1630">
        <v>1053000</v>
      </c>
      <c r="AF14" s="209">
        <f>[1]Субвенция_факт!Z15*1000</f>
        <v>0</v>
      </c>
      <c r="AG14" s="747"/>
      <c r="AH14" s="209">
        <f>[1]Субвенция_факт!AA15*1000</f>
        <v>590400</v>
      </c>
      <c r="AI14" s="1630">
        <v>294000</v>
      </c>
      <c r="AJ14" s="209">
        <f>[1]Субвенция_факт!AB15*1000</f>
        <v>485250</v>
      </c>
      <c r="AK14" s="1630">
        <v>0</v>
      </c>
      <c r="AL14" s="209">
        <f>[1]Субвенция_факт!AH15*1000</f>
        <v>788170</v>
      </c>
      <c r="AM14" s="1630">
        <v>394085</v>
      </c>
      <c r="AP14" s="410"/>
      <c r="AQ14" s="265"/>
      <c r="AR14" s="265"/>
      <c r="AS14" s="265"/>
    </row>
    <row r="15" spans="1:45" ht="21" customHeight="1" x14ac:dyDescent="0.3">
      <c r="A15" s="408" t="s">
        <v>86</v>
      </c>
      <c r="B15" s="266">
        <f t="shared" si="0"/>
        <v>267812356</v>
      </c>
      <c r="C15" s="266">
        <f t="shared" si="1"/>
        <v>192492185</v>
      </c>
      <c r="D15" s="209">
        <f>[1]Субвенция_факт!I16*1000</f>
        <v>0</v>
      </c>
      <c r="E15" s="973"/>
      <c r="F15" s="209">
        <f>[1]Субвенция_факт!J16*1000</f>
        <v>824000</v>
      </c>
      <c r="G15" s="1630">
        <v>446100</v>
      </c>
      <c r="H15" s="209">
        <f>[1]Субвенция_факт!L16*1000</f>
        <v>10356272</v>
      </c>
      <c r="I15" s="1630">
        <v>6800000</v>
      </c>
      <c r="J15" s="209">
        <f>[1]Субвенция_факт!M16*1000</f>
        <v>2896050</v>
      </c>
      <c r="K15" s="1630">
        <v>2896050</v>
      </c>
      <c r="L15" s="209">
        <f>[1]Субвенция_факт!N16*1000</f>
        <v>1315400</v>
      </c>
      <c r="M15" s="1630">
        <v>600000</v>
      </c>
      <c r="N15" s="209">
        <f>[1]Субвенция_факт!O16*1000</f>
        <v>150750</v>
      </c>
      <c r="O15" s="1630">
        <v>50250</v>
      </c>
      <c r="P15" s="209">
        <f>[1]Субвенция_факт!Q16*1000</f>
        <v>506520</v>
      </c>
      <c r="Q15" s="1630">
        <v>288000</v>
      </c>
      <c r="R15" s="209">
        <f>[1]Субвенция_факт!R16*1000</f>
        <v>2519300</v>
      </c>
      <c r="S15" s="1630">
        <v>1242100</v>
      </c>
      <c r="T15" s="209">
        <f>[1]Субвенция_факт!S16*1000</f>
        <v>525900</v>
      </c>
      <c r="U15" s="1630">
        <v>310500</v>
      </c>
      <c r="V15" s="209">
        <f>[1]Субвенция_факт!T16*1000</f>
        <v>68431000</v>
      </c>
      <c r="W15" s="1630">
        <v>47640000</v>
      </c>
      <c r="X15" s="209">
        <f>[1]Субвенция_факт!U16*1000</f>
        <v>176721000</v>
      </c>
      <c r="Y15" s="1630">
        <v>130360800</v>
      </c>
      <c r="Z15" s="209">
        <f>[1]Субвенция_факт!V16*1000</f>
        <v>0</v>
      </c>
      <c r="AA15" s="747"/>
      <c r="AB15" s="209">
        <f>[1]Субвенция_факт!W16*1000</f>
        <v>6500</v>
      </c>
      <c r="AC15" s="1630">
        <v>0</v>
      </c>
      <c r="AD15" s="209">
        <f>[1]Субвенция_факт!Y16*1000</f>
        <v>1680700</v>
      </c>
      <c r="AE15" s="1630">
        <v>1100000</v>
      </c>
      <c r="AF15" s="209">
        <f>[1]Субвенция_факт!Z16*1000</f>
        <v>0</v>
      </c>
      <c r="AG15" s="747"/>
      <c r="AH15" s="209">
        <f>[1]Субвенция_факт!AA16*1000</f>
        <v>602200</v>
      </c>
      <c r="AI15" s="1630">
        <v>332300</v>
      </c>
      <c r="AJ15" s="209">
        <f>[1]Субвенция_факт!AB16*1000</f>
        <v>424594</v>
      </c>
      <c r="AK15" s="1630">
        <v>0</v>
      </c>
      <c r="AL15" s="209">
        <f>[1]Субвенция_факт!AH16*1000</f>
        <v>852170</v>
      </c>
      <c r="AM15" s="1630">
        <v>426085</v>
      </c>
      <c r="AP15" s="410"/>
      <c r="AQ15" s="265"/>
      <c r="AR15" s="265"/>
      <c r="AS15" s="265"/>
    </row>
    <row r="16" spans="1:45" ht="21" customHeight="1" x14ac:dyDescent="0.3">
      <c r="A16" s="408" t="s">
        <v>87</v>
      </c>
      <c r="B16" s="266">
        <f t="shared" si="0"/>
        <v>196970199</v>
      </c>
      <c r="C16" s="266">
        <f t="shared" si="1"/>
        <v>115992751</v>
      </c>
      <c r="D16" s="209">
        <f>[1]Субвенция_факт!I17*1000</f>
        <v>0</v>
      </c>
      <c r="E16" s="973"/>
      <c r="F16" s="209">
        <f>[1]Субвенция_факт!J17*1000</f>
        <v>1700000</v>
      </c>
      <c r="G16" s="1630">
        <v>858366</v>
      </c>
      <c r="H16" s="209">
        <f>[1]Субвенция_факт!L17*1000</f>
        <v>6161216</v>
      </c>
      <c r="I16" s="1630">
        <v>3600000</v>
      </c>
      <c r="J16" s="209">
        <f>[1]Субвенция_факт!M17*1000</f>
        <v>1790550</v>
      </c>
      <c r="K16" s="1630">
        <v>750000</v>
      </c>
      <c r="L16" s="209">
        <f>[1]Субвенция_факт!N17*1000</f>
        <v>604000</v>
      </c>
      <c r="M16" s="1630">
        <v>380000</v>
      </c>
      <c r="N16" s="209">
        <f>[1]Субвенция_факт!O17*1000</f>
        <v>50250</v>
      </c>
      <c r="O16" s="1630">
        <v>0</v>
      </c>
      <c r="P16" s="209">
        <f>[1]Субвенция_факт!Q17*1000</f>
        <v>0</v>
      </c>
      <c r="Q16" s="1630"/>
      <c r="R16" s="209">
        <f>[1]Субвенция_факт!R17*1000</f>
        <v>1963600</v>
      </c>
      <c r="S16" s="1630">
        <v>1100000</v>
      </c>
      <c r="T16" s="209">
        <f>[1]Субвенция_факт!S17*1000</f>
        <v>542000</v>
      </c>
      <c r="U16" s="1630">
        <v>321500</v>
      </c>
      <c r="V16" s="209">
        <f>[1]Субвенция_факт!T17*1000</f>
        <v>31418000</v>
      </c>
      <c r="W16" s="1630">
        <v>18000000</v>
      </c>
      <c r="X16" s="209">
        <f>[1]Субвенция_факт!U17*1000</f>
        <v>149319000</v>
      </c>
      <c r="Y16" s="1630">
        <v>89000000</v>
      </c>
      <c r="Z16" s="209">
        <f>[1]Субвенция_факт!V17*1000</f>
        <v>0</v>
      </c>
      <c r="AA16" s="747"/>
      <c r="AB16" s="209">
        <f>[1]Субвенция_факт!W17*1000</f>
        <v>4000</v>
      </c>
      <c r="AC16" s="1630">
        <v>0</v>
      </c>
      <c r="AD16" s="209">
        <f>[1]Субвенция_факт!Y17*1000</f>
        <v>1908800</v>
      </c>
      <c r="AE16" s="1630">
        <v>1278000</v>
      </c>
      <c r="AF16" s="209">
        <f>[1]Субвенция_факт!Z17*1000</f>
        <v>0</v>
      </c>
      <c r="AG16" s="747"/>
      <c r="AH16" s="209">
        <f>[1]Субвенция_факт!AA17*1000</f>
        <v>597700</v>
      </c>
      <c r="AI16" s="1630">
        <v>310000</v>
      </c>
      <c r="AJ16" s="209">
        <f>[1]Субвенция_факт!AB17*1000</f>
        <v>121313</v>
      </c>
      <c r="AK16" s="1630">
        <v>0</v>
      </c>
      <c r="AL16" s="209">
        <f>[1]Субвенция_факт!AH17*1000</f>
        <v>789770</v>
      </c>
      <c r="AM16" s="1630">
        <v>394885</v>
      </c>
      <c r="AP16" s="410"/>
      <c r="AQ16" s="265"/>
      <c r="AR16" s="265"/>
      <c r="AS16" s="265"/>
    </row>
    <row r="17" spans="1:45" ht="21" customHeight="1" x14ac:dyDescent="0.3">
      <c r="A17" s="408" t="s">
        <v>88</v>
      </c>
      <c r="B17" s="266">
        <f t="shared" si="0"/>
        <v>167762210</v>
      </c>
      <c r="C17" s="266">
        <f t="shared" si="1"/>
        <v>102060385</v>
      </c>
      <c r="D17" s="209">
        <f>[1]Субвенция_факт!I18*1000</f>
        <v>0</v>
      </c>
      <c r="E17" s="973"/>
      <c r="F17" s="209">
        <f>[1]Субвенция_факт!J18*1000</f>
        <v>1310000</v>
      </c>
      <c r="G17" s="1630">
        <v>620000</v>
      </c>
      <c r="H17" s="209">
        <f>[1]Субвенция_факт!L18*1000</f>
        <v>4308357</v>
      </c>
      <c r="I17" s="1630">
        <v>3000000</v>
      </c>
      <c r="J17" s="209">
        <f>[1]Субвенция_факт!M18*1000</f>
        <v>1440450</v>
      </c>
      <c r="K17" s="1630">
        <v>1200000</v>
      </c>
      <c r="L17" s="209">
        <f>[1]Субвенция_факт!N18*1000</f>
        <v>711100</v>
      </c>
      <c r="M17" s="1630">
        <v>320000</v>
      </c>
      <c r="N17" s="209">
        <f>[1]Субвенция_факт!O18*1000</f>
        <v>0</v>
      </c>
      <c r="O17" s="1630">
        <v>0</v>
      </c>
      <c r="P17" s="209">
        <f>[1]Субвенция_факт!Q18*1000</f>
        <v>1061280</v>
      </c>
      <c r="Q17" s="1630">
        <v>860000</v>
      </c>
      <c r="R17" s="209">
        <f>[1]Субвенция_факт!R18*1000</f>
        <v>1943100</v>
      </c>
      <c r="S17" s="1630">
        <v>840000</v>
      </c>
      <c r="T17" s="209">
        <f>[1]Субвенция_факт!S18*1000</f>
        <v>509500</v>
      </c>
      <c r="U17" s="1630">
        <v>300400</v>
      </c>
      <c r="V17" s="209">
        <f>[1]Субвенция_факт!T18*1000</f>
        <v>48163000</v>
      </c>
      <c r="W17" s="1630">
        <v>33000000</v>
      </c>
      <c r="X17" s="209">
        <f>[1]Субвенция_факт!U18*1000</f>
        <v>104691000</v>
      </c>
      <c r="Y17" s="1630">
        <v>60000000</v>
      </c>
      <c r="Z17" s="209">
        <f>[1]Субвенция_факт!V18*1000</f>
        <v>0</v>
      </c>
      <c r="AA17" s="747"/>
      <c r="AB17" s="209">
        <f>[1]Субвенция_факт!W18*1000</f>
        <v>4500</v>
      </c>
      <c r="AC17" s="1630">
        <v>4500</v>
      </c>
      <c r="AD17" s="209">
        <f>[1]Субвенция_факт!Y18*1000</f>
        <v>1980900</v>
      </c>
      <c r="AE17" s="1630">
        <v>1295000</v>
      </c>
      <c r="AF17" s="209">
        <f>[1]Субвенция_факт!Z18*1000</f>
        <v>0</v>
      </c>
      <c r="AG17" s="747"/>
      <c r="AH17" s="209">
        <f>[1]Субвенция_факт!AA18*1000</f>
        <v>605100</v>
      </c>
      <c r="AI17" s="1630">
        <v>240000</v>
      </c>
      <c r="AJ17" s="209">
        <f>[1]Субвенция_факт!AB18*1000</f>
        <v>272953</v>
      </c>
      <c r="AK17" s="1630">
        <v>0</v>
      </c>
      <c r="AL17" s="209">
        <f>[1]Субвенция_факт!AH18*1000</f>
        <v>760970</v>
      </c>
      <c r="AM17" s="1630">
        <v>380485</v>
      </c>
      <c r="AP17" s="410"/>
      <c r="AQ17" s="265"/>
      <c r="AR17" s="265"/>
      <c r="AS17" s="265"/>
    </row>
    <row r="18" spans="1:45" ht="21" customHeight="1" x14ac:dyDescent="0.3">
      <c r="A18" s="408" t="s">
        <v>89</v>
      </c>
      <c r="B18" s="266">
        <f t="shared" si="0"/>
        <v>391690482</v>
      </c>
      <c r="C18" s="266">
        <f t="shared" si="1"/>
        <v>220042735</v>
      </c>
      <c r="D18" s="209">
        <f>[1]Субвенция_факт!I19*1000</f>
        <v>0</v>
      </c>
      <c r="E18" s="973"/>
      <c r="F18" s="209">
        <f>[1]Субвенция_факт!J19*1000</f>
        <v>1899000</v>
      </c>
      <c r="G18" s="1630">
        <v>728000</v>
      </c>
      <c r="H18" s="209">
        <f>[1]Субвенция_факт!L19*1000</f>
        <v>14641847</v>
      </c>
      <c r="I18" s="1630">
        <v>8200000</v>
      </c>
      <c r="J18" s="209">
        <f>[1]Субвенция_факт!M19*1000</f>
        <v>3534900</v>
      </c>
      <c r="K18" s="1630">
        <v>549150</v>
      </c>
      <c r="L18" s="209">
        <f>[1]Субвенция_факт!N19*1000</f>
        <v>1145200</v>
      </c>
      <c r="M18" s="1630">
        <v>600000</v>
      </c>
      <c r="N18" s="209">
        <f>[1]Субвенция_факт!O19*1000</f>
        <v>201000</v>
      </c>
      <c r="O18" s="1630">
        <v>0</v>
      </c>
      <c r="P18" s="209">
        <f>[1]Субвенция_факт!Q19*1000</f>
        <v>289440</v>
      </c>
      <c r="Q18" s="1630">
        <v>144000</v>
      </c>
      <c r="R18" s="209">
        <f>[1]Субвенция_факт!R19*1000</f>
        <v>3193000</v>
      </c>
      <c r="S18" s="1630">
        <v>1660000</v>
      </c>
      <c r="T18" s="209">
        <f>[1]Субвенция_факт!S19*1000</f>
        <v>499100</v>
      </c>
      <c r="U18" s="1630">
        <v>292000</v>
      </c>
      <c r="V18" s="209">
        <f>[1]Субвенция_факт!T19*1000</f>
        <v>121291000</v>
      </c>
      <c r="W18" s="1630">
        <v>65429800</v>
      </c>
      <c r="X18" s="209">
        <f>[1]Субвенция_факт!U19*1000</f>
        <v>241204000</v>
      </c>
      <c r="Y18" s="1630">
        <v>140400000</v>
      </c>
      <c r="Z18" s="209">
        <f>[1]Субвенция_факт!V19*1000</f>
        <v>0</v>
      </c>
      <c r="AA18" s="747"/>
      <c r="AB18" s="209">
        <f>[1]Субвенция_факт!W19*1000</f>
        <v>10000</v>
      </c>
      <c r="AC18" s="1630">
        <v>0</v>
      </c>
      <c r="AD18" s="209">
        <f>[1]Субвенция_факт!Y19*1000</f>
        <v>2088400</v>
      </c>
      <c r="AE18" s="1630">
        <v>1325000</v>
      </c>
      <c r="AF18" s="209">
        <f>[1]Субвенция_факт!Z19*1000</f>
        <v>0</v>
      </c>
      <c r="AG18" s="747"/>
      <c r="AH18" s="209">
        <f>[1]Субвенция_факт!AA19*1000</f>
        <v>608400</v>
      </c>
      <c r="AI18" s="1630">
        <v>293500</v>
      </c>
      <c r="AJ18" s="209">
        <f>[1]Субвенция_факт!AB19*1000</f>
        <v>242625</v>
      </c>
      <c r="AK18" s="1630">
        <v>0</v>
      </c>
      <c r="AL18" s="209">
        <f>[1]Субвенция_факт!AH19*1000</f>
        <v>842570</v>
      </c>
      <c r="AM18" s="1630">
        <v>421285</v>
      </c>
      <c r="AP18" s="410"/>
      <c r="AQ18" s="265"/>
      <c r="AR18" s="265"/>
      <c r="AS18" s="265"/>
    </row>
    <row r="19" spans="1:45" ht="21" customHeight="1" x14ac:dyDescent="0.3">
      <c r="A19" s="408" t="s">
        <v>90</v>
      </c>
      <c r="B19" s="266">
        <f t="shared" si="0"/>
        <v>245632255</v>
      </c>
      <c r="C19" s="266">
        <f t="shared" si="1"/>
        <v>134521585</v>
      </c>
      <c r="D19" s="209">
        <f>[1]Субвенция_факт!I20*1000</f>
        <v>0</v>
      </c>
      <c r="E19" s="973"/>
      <c r="F19" s="209">
        <f>[1]Субвенция_факт!J20*1000</f>
        <v>1675000</v>
      </c>
      <c r="G19" s="1630">
        <v>830800</v>
      </c>
      <c r="H19" s="209">
        <f>[1]Субвенция_факт!L20*1000</f>
        <v>6102416</v>
      </c>
      <c r="I19" s="1630">
        <v>4400000</v>
      </c>
      <c r="J19" s="209">
        <f>[1]Субвенция_факт!M20*1000</f>
        <v>1895100</v>
      </c>
      <c r="K19" s="1630">
        <v>0</v>
      </c>
      <c r="L19" s="209">
        <f>[1]Субвенция_факт!N20*1000</f>
        <v>607500</v>
      </c>
      <c r="M19" s="1630">
        <v>300000</v>
      </c>
      <c r="N19" s="209">
        <f>[1]Субвенция_факт!O20*1000</f>
        <v>0</v>
      </c>
      <c r="O19" s="1630">
        <v>0</v>
      </c>
      <c r="P19" s="209">
        <f>[1]Субвенция_факт!Q20*1000</f>
        <v>192960</v>
      </c>
      <c r="Q19" s="1630">
        <v>96000</v>
      </c>
      <c r="R19" s="209">
        <f>[1]Субвенция_факт!R20*1000</f>
        <v>1907000</v>
      </c>
      <c r="S19" s="1630">
        <v>960000</v>
      </c>
      <c r="T19" s="209">
        <f>[1]Субвенция_факт!S20*1000</f>
        <v>533200</v>
      </c>
      <c r="U19" s="1630">
        <v>313300</v>
      </c>
      <c r="V19" s="209">
        <f>[1]Субвенция_факт!T20*1000</f>
        <v>49541000</v>
      </c>
      <c r="W19" s="1630">
        <v>28000000</v>
      </c>
      <c r="X19" s="209">
        <f>[1]Субвенция_факт!U20*1000</f>
        <v>179007000</v>
      </c>
      <c r="Y19" s="1630">
        <v>97500000</v>
      </c>
      <c r="Z19" s="209">
        <f>[1]Субвенция_факт!V20*1000</f>
        <v>0</v>
      </c>
      <c r="AA19" s="747"/>
      <c r="AB19" s="209">
        <f>[1]Субвенция_факт!W20*1000</f>
        <v>11500</v>
      </c>
      <c r="AC19" s="1630">
        <v>0</v>
      </c>
      <c r="AD19" s="209">
        <f>[1]Субвенция_факт!Y20*1000</f>
        <v>2451000</v>
      </c>
      <c r="AE19" s="1630">
        <v>1435000</v>
      </c>
      <c r="AF19" s="209">
        <f>[1]Субвенция_факт!Z20*1000</f>
        <v>0</v>
      </c>
      <c r="AG19" s="747"/>
      <c r="AH19" s="209">
        <f>[1]Субвенция_факт!AA20*1000</f>
        <v>614000</v>
      </c>
      <c r="AI19" s="1630">
        <v>306000</v>
      </c>
      <c r="AJ19" s="209">
        <f>[1]Субвенция_факт!AB20*1000</f>
        <v>333609</v>
      </c>
      <c r="AK19" s="1630">
        <v>0</v>
      </c>
      <c r="AL19" s="209">
        <f>[1]Субвенция_факт!AH20*1000</f>
        <v>760970</v>
      </c>
      <c r="AM19" s="1630">
        <v>380485</v>
      </c>
      <c r="AP19" s="410"/>
      <c r="AQ19" s="265"/>
      <c r="AR19" s="265"/>
      <c r="AS19" s="265"/>
    </row>
    <row r="20" spans="1:45" ht="21" customHeight="1" x14ac:dyDescent="0.3">
      <c r="A20" s="408" t="s">
        <v>91</v>
      </c>
      <c r="B20" s="266">
        <f t="shared" si="0"/>
        <v>551455425</v>
      </c>
      <c r="C20" s="266">
        <f t="shared" si="1"/>
        <v>359976675</v>
      </c>
      <c r="D20" s="209">
        <f>[1]Субвенция_факт!I21*1000</f>
        <v>0</v>
      </c>
      <c r="E20" s="973"/>
      <c r="F20" s="209">
        <f>[1]Субвенция_факт!J21*1000</f>
        <v>3170000</v>
      </c>
      <c r="G20" s="1630">
        <v>1585000</v>
      </c>
      <c r="H20" s="209">
        <f>[1]Субвенция_факт!L21*1000</f>
        <v>16166084</v>
      </c>
      <c r="I20" s="1630">
        <v>10000000</v>
      </c>
      <c r="J20" s="209">
        <f>[1]Субвенция_факт!M21*1000</f>
        <v>4064149.9999999995</v>
      </c>
      <c r="K20" s="1630">
        <v>1145840</v>
      </c>
      <c r="L20" s="209">
        <f>[1]Субвенция_факт!N21*1000</f>
        <v>1141200</v>
      </c>
      <c r="M20" s="1630">
        <v>500000</v>
      </c>
      <c r="N20" s="209">
        <f>[1]Субвенция_факт!O21*1000</f>
        <v>0</v>
      </c>
      <c r="O20" s="1630"/>
      <c r="P20" s="209">
        <f>[1]Субвенция_факт!Q21*1000</f>
        <v>1101480</v>
      </c>
      <c r="Q20" s="1630">
        <v>500000</v>
      </c>
      <c r="R20" s="209">
        <f>[1]Субвенция_факт!R21*1000</f>
        <v>4945900</v>
      </c>
      <c r="S20" s="1630">
        <v>2900000</v>
      </c>
      <c r="T20" s="209">
        <f>[1]Субвенция_факт!S21*1000</f>
        <v>518000</v>
      </c>
      <c r="U20" s="1630">
        <v>303500</v>
      </c>
      <c r="V20" s="209">
        <f>[1]Субвенция_факт!T21*1000</f>
        <v>95736000</v>
      </c>
      <c r="W20" s="1630">
        <v>61200000</v>
      </c>
      <c r="X20" s="209">
        <f>[1]Субвенция_факт!U21*1000</f>
        <v>420184000</v>
      </c>
      <c r="Y20" s="1630">
        <v>280000000</v>
      </c>
      <c r="Z20" s="209">
        <f>[1]Субвенция_факт!V21*1000</f>
        <v>0</v>
      </c>
      <c r="AA20" s="747"/>
      <c r="AB20" s="209">
        <f>[1]Субвенция_факт!W21*1000</f>
        <v>5000</v>
      </c>
      <c r="AC20" s="1630">
        <v>0</v>
      </c>
      <c r="AD20" s="209">
        <f>[1]Субвенция_факт!Y21*1000</f>
        <v>1823900</v>
      </c>
      <c r="AE20" s="1630">
        <v>1097000</v>
      </c>
      <c r="AF20" s="209">
        <f>[1]Субвенция_факт!Z21*1000</f>
        <v>0</v>
      </c>
      <c r="AG20" s="747"/>
      <c r="AH20" s="209">
        <f>[1]Субвенция_факт!AA21*1000</f>
        <v>586900</v>
      </c>
      <c r="AI20" s="1630">
        <v>300000</v>
      </c>
      <c r="AJ20" s="209">
        <f>[1]Субвенция_факт!AB21*1000</f>
        <v>1122141</v>
      </c>
      <c r="AK20" s="1630">
        <v>0</v>
      </c>
      <c r="AL20" s="209">
        <f>[1]Субвенция_факт!AH21*1000</f>
        <v>890670</v>
      </c>
      <c r="AM20" s="1630">
        <v>445335</v>
      </c>
      <c r="AP20" s="410"/>
      <c r="AQ20" s="265"/>
      <c r="AR20" s="265"/>
      <c r="AS20" s="265"/>
    </row>
    <row r="21" spans="1:45" ht="21" customHeight="1" x14ac:dyDescent="0.3">
      <c r="A21" s="408" t="s">
        <v>92</v>
      </c>
      <c r="B21" s="266">
        <f t="shared" si="0"/>
        <v>208571657</v>
      </c>
      <c r="C21" s="266">
        <f t="shared" si="1"/>
        <v>122438225</v>
      </c>
      <c r="D21" s="209">
        <f>[1]Субвенция_факт!I22*1000</f>
        <v>0</v>
      </c>
      <c r="E21" s="973"/>
      <c r="F21" s="209">
        <f>[1]Субвенция_факт!J22*1000</f>
        <v>1350000</v>
      </c>
      <c r="G21" s="1630">
        <v>766852</v>
      </c>
      <c r="H21" s="209">
        <f>[1]Субвенция_факт!L22*1000</f>
        <v>5787175.9999999991</v>
      </c>
      <c r="I21" s="1630">
        <v>4116070</v>
      </c>
      <c r="J21" s="209">
        <f>[1]Субвенция_факт!M22*1000</f>
        <v>1794950</v>
      </c>
      <c r="K21" s="1630">
        <v>1623688</v>
      </c>
      <c r="L21" s="209">
        <f>[1]Субвенция_факт!N22*1000</f>
        <v>566900</v>
      </c>
      <c r="M21" s="1630">
        <v>272400</v>
      </c>
      <c r="N21" s="209">
        <f>[1]Субвенция_факт!O22*1000</f>
        <v>0</v>
      </c>
      <c r="O21" s="1630"/>
      <c r="P21" s="209">
        <f>[1]Субвенция_факт!Q22*1000</f>
        <v>96480</v>
      </c>
      <c r="Q21" s="1630">
        <v>48480</v>
      </c>
      <c r="R21" s="209">
        <f>[1]Субвенция_факт!R22*1000</f>
        <v>1788400</v>
      </c>
      <c r="S21" s="1630">
        <v>856800</v>
      </c>
      <c r="T21" s="209">
        <f>[1]Субвенция_факт!S22*1000</f>
        <v>517000</v>
      </c>
      <c r="U21" s="1630">
        <v>307000</v>
      </c>
      <c r="V21" s="209">
        <f>[1]Субвенция_факт!T22*1000</f>
        <v>45885000</v>
      </c>
      <c r="W21" s="1630">
        <v>26196000</v>
      </c>
      <c r="X21" s="209">
        <f>[1]Субвенция_факт!U22*1000</f>
        <v>144971000</v>
      </c>
      <c r="Y21" s="1630">
        <v>85177000</v>
      </c>
      <c r="Z21" s="209">
        <f>[1]Субвенция_факт!V22*1000</f>
        <v>0</v>
      </c>
      <c r="AA21" s="747"/>
      <c r="AB21" s="209">
        <f>[1]Субвенция_факт!W22*1000</f>
        <v>500</v>
      </c>
      <c r="AC21" s="1630">
        <v>0</v>
      </c>
      <c r="AD21" s="209">
        <f>[1]Субвенция_факт!Y22*1000</f>
        <v>4030100</v>
      </c>
      <c r="AE21" s="1630">
        <v>2408000</v>
      </c>
      <c r="AF21" s="209">
        <f>[1]Субвенция_факт!Z22*1000</f>
        <v>0</v>
      </c>
      <c r="AG21" s="747"/>
      <c r="AH21" s="209">
        <f>[1]Субвенция_факт!AA22*1000</f>
        <v>619000</v>
      </c>
      <c r="AI21" s="1630">
        <v>235000</v>
      </c>
      <c r="AJ21" s="209">
        <f>[1]Субвенция_факт!AB22*1000</f>
        <v>303281</v>
      </c>
      <c r="AK21" s="1630">
        <v>0</v>
      </c>
      <c r="AL21" s="209">
        <f>[1]Субвенция_факт!AH22*1000</f>
        <v>861870</v>
      </c>
      <c r="AM21" s="1630">
        <v>430935</v>
      </c>
      <c r="AP21" s="410"/>
      <c r="AQ21" s="265"/>
      <c r="AR21" s="265"/>
      <c r="AS21" s="265"/>
    </row>
    <row r="22" spans="1:45" ht="21" customHeight="1" x14ac:dyDescent="0.3">
      <c r="A22" s="408" t="s">
        <v>93</v>
      </c>
      <c r="B22" s="266">
        <f t="shared" si="0"/>
        <v>275709177</v>
      </c>
      <c r="C22" s="266">
        <f t="shared" si="1"/>
        <v>178314565</v>
      </c>
      <c r="D22" s="209">
        <f>[1]Субвенция_факт!I23*1000</f>
        <v>0</v>
      </c>
      <c r="E22" s="973"/>
      <c r="F22" s="209">
        <f>[1]Субвенция_факт!J23*1000</f>
        <v>2200000</v>
      </c>
      <c r="G22" s="1630">
        <v>1104000</v>
      </c>
      <c r="H22" s="209">
        <f>[1]Субвенция_факт!L23*1000</f>
        <v>8002574</v>
      </c>
      <c r="I22" s="1630">
        <v>5742080</v>
      </c>
      <c r="J22" s="209">
        <f>[1]Субвенция_факт!M23*1000</f>
        <v>2132200.0000000005</v>
      </c>
      <c r="K22" s="1630">
        <v>1400000</v>
      </c>
      <c r="L22" s="209">
        <f>[1]Субвенция_факт!N23*1000</f>
        <v>1170500</v>
      </c>
      <c r="M22" s="1630">
        <v>600000</v>
      </c>
      <c r="N22" s="209">
        <f>[1]Субвенция_факт!O23*1000</f>
        <v>100500</v>
      </c>
      <c r="O22" s="1630"/>
      <c r="P22" s="209">
        <f>[1]Субвенция_факт!Q23*1000</f>
        <v>96480</v>
      </c>
      <c r="Q22" s="1630">
        <v>0</v>
      </c>
      <c r="R22" s="209">
        <f>[1]Субвенция_факт!R23*1000</f>
        <v>1885200</v>
      </c>
      <c r="S22" s="1630">
        <v>860000</v>
      </c>
      <c r="T22" s="209">
        <f>[1]Субвенция_факт!S23*1000</f>
        <v>521600</v>
      </c>
      <c r="U22" s="1630">
        <v>306400</v>
      </c>
      <c r="V22" s="209">
        <f>[1]Субвенция_факт!T23*1000</f>
        <v>43879000</v>
      </c>
      <c r="W22" s="1630">
        <v>26160000</v>
      </c>
      <c r="X22" s="209">
        <f>[1]Субвенция_факт!U23*1000</f>
        <v>211605000</v>
      </c>
      <c r="Y22" s="1630">
        <v>140000000</v>
      </c>
      <c r="Z22" s="209">
        <f>[1]Субвенция_факт!V23*1000</f>
        <v>0</v>
      </c>
      <c r="AA22" s="747"/>
      <c r="AB22" s="209">
        <f>[1]Субвенция_факт!W23*1000</f>
        <v>3500</v>
      </c>
      <c r="AC22" s="1630">
        <v>0</v>
      </c>
      <c r="AD22" s="209">
        <f>[1]Субвенция_факт!Y23*1000</f>
        <v>2432300</v>
      </c>
      <c r="AE22" s="1630">
        <v>1448000</v>
      </c>
      <c r="AF22" s="209">
        <f>[1]Субвенция_факт!Z23*1000</f>
        <v>0</v>
      </c>
      <c r="AG22" s="747"/>
      <c r="AH22" s="209">
        <f>[1]Субвенция_факт!AA23*1000</f>
        <v>619200</v>
      </c>
      <c r="AI22" s="1630">
        <v>300000</v>
      </c>
      <c r="AJ22" s="209">
        <f>[1]Субвенция_факт!AB23*1000</f>
        <v>272953</v>
      </c>
      <c r="AK22" s="1630">
        <v>0</v>
      </c>
      <c r="AL22" s="209">
        <f>[1]Субвенция_факт!AH23*1000</f>
        <v>788170</v>
      </c>
      <c r="AM22" s="1630">
        <v>394085</v>
      </c>
      <c r="AP22" s="410"/>
      <c r="AQ22" s="265"/>
      <c r="AR22" s="265"/>
      <c r="AS22" s="265"/>
    </row>
    <row r="23" spans="1:45" ht="21" customHeight="1" x14ac:dyDescent="0.3">
      <c r="A23" s="408" t="s">
        <v>94</v>
      </c>
      <c r="B23" s="266">
        <f t="shared" si="0"/>
        <v>423830368</v>
      </c>
      <c r="C23" s="266">
        <f t="shared" si="1"/>
        <v>234819097</v>
      </c>
      <c r="D23" s="209">
        <f>[1]Субвенция_факт!I24*1000</f>
        <v>0</v>
      </c>
      <c r="E23" s="973"/>
      <c r="F23" s="209">
        <f>[1]Субвенция_факт!J24*1000</f>
        <v>1690000</v>
      </c>
      <c r="G23" s="1630">
        <v>828162</v>
      </c>
      <c r="H23" s="209">
        <f>[1]Субвенция_факт!L24*1000</f>
        <v>16049645.999999998</v>
      </c>
      <c r="I23" s="1630">
        <v>13500000</v>
      </c>
      <c r="J23" s="209">
        <f>[1]Субвенция_факт!M24*1000</f>
        <v>4752150.0000000009</v>
      </c>
      <c r="K23" s="1630">
        <v>510000</v>
      </c>
      <c r="L23" s="209">
        <f>[1]Субвенция_факт!N24*1000</f>
        <v>1109900</v>
      </c>
      <c r="M23" s="1630">
        <v>556500</v>
      </c>
      <c r="N23" s="209">
        <f>[1]Субвенция_факт!O24*1000</f>
        <v>100500</v>
      </c>
      <c r="O23" s="1630"/>
      <c r="P23" s="209">
        <f>[1]Субвенция_факт!Q24*1000</f>
        <v>1382880</v>
      </c>
      <c r="Q23" s="1630">
        <v>624000</v>
      </c>
      <c r="R23" s="209">
        <f>[1]Субвенция_факт!R24*1000</f>
        <v>3566600</v>
      </c>
      <c r="S23" s="1630">
        <v>1771200</v>
      </c>
      <c r="T23" s="209">
        <f>[1]Субвенция_факт!S24*1000</f>
        <v>506100</v>
      </c>
      <c r="U23" s="1630">
        <v>299500</v>
      </c>
      <c r="V23" s="209">
        <f>[1]Субвенция_факт!T24*1000</f>
        <v>115077000</v>
      </c>
      <c r="W23" s="1630">
        <v>62000000</v>
      </c>
      <c r="X23" s="209">
        <f>[1]Субвенция_факт!U24*1000</f>
        <v>273946000</v>
      </c>
      <c r="Y23" s="1630">
        <v>152000000</v>
      </c>
      <c r="Z23" s="209">
        <f>[1]Субвенция_факт!V24*1000</f>
        <v>685000</v>
      </c>
      <c r="AA23" s="1630">
        <v>400000</v>
      </c>
      <c r="AB23" s="209">
        <f>[1]Субвенция_факт!W24*1000</f>
        <v>5000</v>
      </c>
      <c r="AC23" s="1630">
        <v>0</v>
      </c>
      <c r="AD23" s="209">
        <f>[1]Субвенция_факт!Y24*1000</f>
        <v>2359800</v>
      </c>
      <c r="AE23" s="1630">
        <v>1390000</v>
      </c>
      <c r="AF23" s="209">
        <f>[1]Субвенция_факт!Z24*1000</f>
        <v>0</v>
      </c>
      <c r="AG23" s="747"/>
      <c r="AH23" s="209">
        <f>[1]Субвенция_факт!AA24*1000</f>
        <v>1225400</v>
      </c>
      <c r="AI23" s="1630">
        <v>480000</v>
      </c>
      <c r="AJ23" s="209">
        <f>[1]Субвенция_факт!AB24*1000</f>
        <v>454922</v>
      </c>
      <c r="AK23" s="1630">
        <v>0</v>
      </c>
      <c r="AL23" s="209">
        <f>[1]Субвенция_факт!AH24*1000</f>
        <v>919470</v>
      </c>
      <c r="AM23" s="1630">
        <v>459735</v>
      </c>
      <c r="AP23" s="410"/>
      <c r="AQ23" s="265"/>
      <c r="AR23" s="265"/>
      <c r="AS23" s="265"/>
    </row>
    <row r="24" spans="1:45" ht="21" customHeight="1" x14ac:dyDescent="0.3">
      <c r="A24" s="408" t="s">
        <v>95</v>
      </c>
      <c r="B24" s="266">
        <f t="shared" si="0"/>
        <v>213358276</v>
      </c>
      <c r="C24" s="266">
        <f t="shared" si="1"/>
        <v>158996335</v>
      </c>
      <c r="D24" s="209">
        <f>[1]Субвенция_факт!I25*1000</f>
        <v>0</v>
      </c>
      <c r="E24" s="973"/>
      <c r="F24" s="209">
        <f>[1]Субвенция_факт!J25*1000</f>
        <v>1950000</v>
      </c>
      <c r="G24" s="1630">
        <v>975500</v>
      </c>
      <c r="H24" s="209">
        <f>[1]Субвенция_факт!L25*1000</f>
        <v>6863915.0000000009</v>
      </c>
      <c r="I24" s="1630">
        <v>4500000</v>
      </c>
      <c r="J24" s="209">
        <f>[1]Субвенция_факт!M25*1000</f>
        <v>1928950</v>
      </c>
      <c r="K24" s="1630">
        <v>700000</v>
      </c>
      <c r="L24" s="209">
        <f>[1]Субвенция_факт!N25*1000</f>
        <v>598100</v>
      </c>
      <c r="M24" s="1630">
        <v>312000</v>
      </c>
      <c r="N24" s="209">
        <f>[1]Субвенция_факт!O25*1000</f>
        <v>0</v>
      </c>
      <c r="O24" s="1630"/>
      <c r="P24" s="209">
        <f>[1]Субвенция_факт!Q25*1000</f>
        <v>675360</v>
      </c>
      <c r="Q24" s="1630">
        <v>336000</v>
      </c>
      <c r="R24" s="209">
        <f>[1]Субвенция_факт!R25*1000</f>
        <v>1906900</v>
      </c>
      <c r="S24" s="1630">
        <v>1020000</v>
      </c>
      <c r="T24" s="209">
        <f>[1]Субвенция_факт!S25*1000</f>
        <v>499000</v>
      </c>
      <c r="U24" s="1630">
        <v>291750</v>
      </c>
      <c r="V24" s="209">
        <f>[1]Субвенция_факт!T25*1000</f>
        <v>30945000</v>
      </c>
      <c r="W24" s="1630">
        <v>21000000</v>
      </c>
      <c r="X24" s="209">
        <f>[1]Субвенция_факт!U25*1000</f>
        <v>162703000</v>
      </c>
      <c r="Y24" s="1630">
        <v>127000000</v>
      </c>
      <c r="Z24" s="209">
        <f>[1]Субвенция_факт!V25*1000</f>
        <v>0</v>
      </c>
      <c r="AA24" s="747"/>
      <c r="AB24" s="209">
        <f>[1]Субвенция_факт!W25*1000</f>
        <v>5500</v>
      </c>
      <c r="AC24" s="1630">
        <v>0</v>
      </c>
      <c r="AD24" s="209">
        <f>[1]Субвенция_факт!Y25*1000</f>
        <v>3609400</v>
      </c>
      <c r="AE24" s="1630">
        <v>2107000</v>
      </c>
      <c r="AF24" s="209">
        <f>[1]Субвенция_факт!Z25*1000</f>
        <v>0</v>
      </c>
      <c r="AG24" s="747"/>
      <c r="AH24" s="209">
        <f>[1]Субвенция_факт!AA25*1000</f>
        <v>591700</v>
      </c>
      <c r="AI24" s="1630">
        <v>365000</v>
      </c>
      <c r="AJ24" s="209">
        <f>[1]Субвенция_факт!AB25*1000</f>
        <v>303281</v>
      </c>
      <c r="AK24" s="1630">
        <v>0</v>
      </c>
      <c r="AL24" s="209">
        <f>[1]Субвенция_факт!AH25*1000</f>
        <v>778170</v>
      </c>
      <c r="AM24" s="1630">
        <v>389085</v>
      </c>
      <c r="AP24" s="410"/>
      <c r="AQ24" s="265"/>
      <c r="AR24" s="265"/>
      <c r="AS24" s="265"/>
    </row>
    <row r="25" spans="1:45" ht="21" customHeight="1" x14ac:dyDescent="0.3">
      <c r="A25" s="408" t="s">
        <v>96</v>
      </c>
      <c r="B25" s="266">
        <f t="shared" si="0"/>
        <v>318140162</v>
      </c>
      <c r="C25" s="266">
        <f t="shared" si="1"/>
        <v>174628445</v>
      </c>
      <c r="D25" s="209">
        <f>[1]Субвенция_факт!I26*1000</f>
        <v>0</v>
      </c>
      <c r="E25" s="973"/>
      <c r="F25" s="209">
        <f>[1]Субвенция_факт!J26*1000</f>
        <v>1341000</v>
      </c>
      <c r="G25" s="1630">
        <v>636000</v>
      </c>
      <c r="H25" s="209">
        <f>[1]Субвенция_факт!L26*1000</f>
        <v>11222412</v>
      </c>
      <c r="I25" s="1630">
        <v>9000000</v>
      </c>
      <c r="J25" s="209">
        <f>[1]Субвенция_факт!M26*1000</f>
        <v>3530799.9999999995</v>
      </c>
      <c r="K25" s="1630">
        <v>4510</v>
      </c>
      <c r="L25" s="209">
        <f>[1]Субвенция_факт!N26*1000</f>
        <v>1192600</v>
      </c>
      <c r="M25" s="1630">
        <v>672000</v>
      </c>
      <c r="N25" s="209">
        <f>[1]Субвенция_факт!O26*1000</f>
        <v>50250</v>
      </c>
      <c r="O25" s="1630">
        <v>50250</v>
      </c>
      <c r="P25" s="209">
        <f>[1]Субвенция_факт!Q26*1000</f>
        <v>578880</v>
      </c>
      <c r="Q25" s="1630">
        <v>312000</v>
      </c>
      <c r="R25" s="209">
        <f>[1]Субвенция_факт!R26*1000</f>
        <v>2521900</v>
      </c>
      <c r="S25" s="1630">
        <v>1414000</v>
      </c>
      <c r="T25" s="209">
        <f>[1]Субвенция_факт!S26*1000</f>
        <v>512700.00000000006</v>
      </c>
      <c r="U25" s="1630">
        <v>301200</v>
      </c>
      <c r="V25" s="209">
        <f>[1]Субвенция_факт!T26*1000</f>
        <v>73051000</v>
      </c>
      <c r="W25" s="1630">
        <v>40000000</v>
      </c>
      <c r="X25" s="209">
        <f>[1]Субвенция_факт!U26*1000</f>
        <v>219559000</v>
      </c>
      <c r="Y25" s="1630">
        <v>120000000</v>
      </c>
      <c r="Z25" s="209">
        <f>[1]Субвенция_факт!V26*1000</f>
        <v>0</v>
      </c>
      <c r="AA25" s="747"/>
      <c r="AB25" s="209">
        <f>[1]Субвенция_факт!W26*1000</f>
        <v>11500</v>
      </c>
      <c r="AC25" s="1630">
        <v>0</v>
      </c>
      <c r="AD25" s="209">
        <f>[1]Субвенция_факт!Y26*1000</f>
        <v>2453200</v>
      </c>
      <c r="AE25" s="1630">
        <v>1434000</v>
      </c>
      <c r="AF25" s="209">
        <f>[1]Субвенция_факт!Z26*1000</f>
        <v>0</v>
      </c>
      <c r="AG25" s="747"/>
      <c r="AH25" s="209">
        <f>[1]Субвенция_факт!AA26*1000</f>
        <v>728700</v>
      </c>
      <c r="AI25" s="1630">
        <v>354000</v>
      </c>
      <c r="AJ25" s="209">
        <f>[1]Субвенция_факт!AB26*1000</f>
        <v>485250</v>
      </c>
      <c r="AK25" s="1630">
        <v>0</v>
      </c>
      <c r="AL25" s="209">
        <f>[1]Субвенция_факт!AH26*1000</f>
        <v>900970</v>
      </c>
      <c r="AM25" s="1630">
        <v>450485</v>
      </c>
      <c r="AP25" s="410"/>
      <c r="AQ25" s="265"/>
      <c r="AR25" s="265"/>
      <c r="AS25" s="265"/>
    </row>
    <row r="26" spans="1:45" ht="21" customHeight="1" x14ac:dyDescent="0.3">
      <c r="A26" s="408" t="s">
        <v>5</v>
      </c>
      <c r="B26" s="266">
        <f t="shared" si="0"/>
        <v>789764039</v>
      </c>
      <c r="C26" s="266">
        <f t="shared" si="0"/>
        <v>433428100</v>
      </c>
      <c r="D26" s="209">
        <f>[1]Субвенция_факт!I29*1000</f>
        <v>0</v>
      </c>
      <c r="E26" s="973"/>
      <c r="F26" s="209">
        <f>[1]Субвенция_факт!J29*1000</f>
        <v>0</v>
      </c>
      <c r="G26" s="973"/>
      <c r="H26" s="209">
        <f>[1]Субвенция_факт!L29*1000</f>
        <v>35323232</v>
      </c>
      <c r="I26" s="1630">
        <v>24500000</v>
      </c>
      <c r="J26" s="209">
        <f>[1]Субвенция_факт!M29*1000</f>
        <v>5635099.9999999991</v>
      </c>
      <c r="K26" s="1630">
        <v>2450000</v>
      </c>
      <c r="L26" s="209">
        <f>[1]Субвенция_факт!N29*1000</f>
        <v>1269300</v>
      </c>
      <c r="M26" s="1630">
        <v>600000</v>
      </c>
      <c r="N26" s="209">
        <f>[1]Субвенция_факт!O29*1000</f>
        <v>351800</v>
      </c>
      <c r="O26" s="1630">
        <v>100500</v>
      </c>
      <c r="P26" s="209">
        <f>[1]Субвенция_факт!Q29*1000</f>
        <v>2412000</v>
      </c>
      <c r="Q26" s="1630">
        <v>1120000</v>
      </c>
      <c r="R26" s="209">
        <f>[1]Субвенция_факт!R29*1000</f>
        <v>5105100</v>
      </c>
      <c r="S26" s="1630">
        <v>1800000</v>
      </c>
      <c r="T26" s="209">
        <f>[1]Субвенция_факт!S29*1000</f>
        <v>950300</v>
      </c>
      <c r="U26" s="1630">
        <v>557600</v>
      </c>
      <c r="V26" s="209">
        <f>[1]Субвенция_факт!T29*1000</f>
        <v>349922000</v>
      </c>
      <c r="W26" s="1630">
        <v>191500000</v>
      </c>
      <c r="X26" s="209">
        <f>[1]Субвенция_факт!U29*1000</f>
        <v>367645000</v>
      </c>
      <c r="Y26" s="1630">
        <v>198000000</v>
      </c>
      <c r="Z26" s="209">
        <f>[1]Субвенция_факт!V29*1000</f>
        <v>11391000</v>
      </c>
      <c r="AA26" s="1630">
        <v>7000000</v>
      </c>
      <c r="AB26" s="209">
        <f>[1]Субвенция_факт!W29*1000</f>
        <v>27000</v>
      </c>
      <c r="AC26" s="1630">
        <v>0</v>
      </c>
      <c r="AD26" s="209">
        <f>[1]Субвенция_факт!Y29*1000</f>
        <v>3959700</v>
      </c>
      <c r="AE26" s="1630">
        <v>2250000</v>
      </c>
      <c r="AF26" s="209">
        <f>[1]Субвенция_факт!Z29*1000</f>
        <v>3000000</v>
      </c>
      <c r="AG26" s="1630">
        <v>3000000</v>
      </c>
      <c r="AH26" s="209">
        <f>[1]Субвенция_факт!AA29*1000</f>
        <v>1256100</v>
      </c>
      <c r="AI26" s="1630">
        <v>550000</v>
      </c>
      <c r="AJ26" s="209">
        <f>[1]Субвенция_факт!AB29*1000</f>
        <v>1516407</v>
      </c>
      <c r="AK26" s="1630">
        <v>0</v>
      </c>
      <c r="AL26" s="209">
        <f>[1]Субвенция_факт!AH29*1000</f>
        <v>0</v>
      </c>
      <c r="AM26" s="973"/>
      <c r="AN26" s="407"/>
      <c r="AP26" s="410"/>
      <c r="AQ26" s="265"/>
      <c r="AR26" s="265"/>
      <c r="AS26" s="265"/>
    </row>
    <row r="27" spans="1:45" ht="21" customHeight="1" x14ac:dyDescent="0.3">
      <c r="A27" s="408" t="s">
        <v>6</v>
      </c>
      <c r="B27" s="266">
        <f t="shared" si="0"/>
        <v>4290372646</v>
      </c>
      <c r="C27" s="266">
        <f t="shared" si="0"/>
        <v>2462032830</v>
      </c>
      <c r="D27" s="209">
        <f>[1]Субвенция_факт!I30*1000</f>
        <v>300000</v>
      </c>
      <c r="E27" s="973">
        <v>200000</v>
      </c>
      <c r="F27" s="209">
        <f>[1]Субвенция_факт!J30*1000</f>
        <v>0</v>
      </c>
      <c r="G27" s="973"/>
      <c r="H27" s="209">
        <f>[1]Субвенция_факт!L30*1000</f>
        <v>175803016</v>
      </c>
      <c r="I27" s="1630">
        <v>122943250</v>
      </c>
      <c r="J27" s="209">
        <f>[1]Субвенция_факт!M30*1000</f>
        <v>26475000</v>
      </c>
      <c r="K27" s="1630">
        <v>11000000</v>
      </c>
      <c r="L27" s="209">
        <f>[1]Субвенция_факт!N30*1000</f>
        <v>5931200</v>
      </c>
      <c r="M27" s="1630">
        <v>2925900</v>
      </c>
      <c r="N27" s="209">
        <f>[1]Субвенция_факт!O30*1000</f>
        <v>1005000</v>
      </c>
      <c r="O27" s="1630">
        <v>401750</v>
      </c>
      <c r="P27" s="209">
        <f>[1]Субвенция_факт!Q30*1000</f>
        <v>7428920</v>
      </c>
      <c r="Q27" s="1630">
        <v>3928000</v>
      </c>
      <c r="R27" s="209">
        <f>[1]Субвенция_факт!R30*1000</f>
        <v>25072100</v>
      </c>
      <c r="S27" s="1630">
        <v>13930000</v>
      </c>
      <c r="T27" s="209">
        <f>[1]Субвенция_факт!S30*1000</f>
        <v>1047099.9999999999</v>
      </c>
      <c r="U27" s="1630">
        <v>620000</v>
      </c>
      <c r="V27" s="209">
        <f>[1]Субвенция_факт!T30*1000</f>
        <v>1861120700</v>
      </c>
      <c r="W27" s="1630">
        <v>924764250</v>
      </c>
      <c r="X27" s="209">
        <f>[1]Субвенция_факт!U30*1000</f>
        <v>2119635000</v>
      </c>
      <c r="Y27" s="1630">
        <v>1347584680</v>
      </c>
      <c r="Z27" s="209">
        <f>[1]Субвенция_факт!V30*1000</f>
        <v>24182000</v>
      </c>
      <c r="AA27" s="1630">
        <v>15400000</v>
      </c>
      <c r="AB27" s="209">
        <f>[1]Субвенция_факт!W30*1000</f>
        <v>114500</v>
      </c>
      <c r="AC27" s="1630">
        <v>0</v>
      </c>
      <c r="AD27" s="209">
        <f>[1]Субвенция_факт!Y30*1000</f>
        <v>8662200</v>
      </c>
      <c r="AE27" s="1630">
        <v>8500000</v>
      </c>
      <c r="AF27" s="209">
        <f>[1]Субвенция_факт!Z30*1000</f>
        <v>7000000</v>
      </c>
      <c r="AG27" s="1630">
        <v>7000000</v>
      </c>
      <c r="AH27" s="209">
        <f>[1]Субвенция_факт!AA30*1000</f>
        <v>5790800</v>
      </c>
      <c r="AI27" s="1630">
        <v>2835000</v>
      </c>
      <c r="AJ27" s="209">
        <f>[1]Субвенция_факт!AB30*1000</f>
        <v>20805110</v>
      </c>
      <c r="AK27" s="1630">
        <v>0</v>
      </c>
      <c r="AL27" s="209">
        <f>[1]Субвенция_факт!AH30*1000</f>
        <v>0</v>
      </c>
      <c r="AM27" s="973"/>
      <c r="AN27" s="407"/>
      <c r="AP27" s="410"/>
      <c r="AQ27" s="265"/>
      <c r="AR27" s="265"/>
      <c r="AS27" s="265"/>
    </row>
    <row r="28" spans="1:45" s="403" customFormat="1" ht="21" customHeight="1" x14ac:dyDescent="0.3">
      <c r="A28" s="405" t="s">
        <v>36</v>
      </c>
      <c r="B28" s="266">
        <f t="shared" ref="B28:AM28" si="2">SUM(B8:B27)</f>
        <v>10643190454</v>
      </c>
      <c r="C28" s="266">
        <f t="shared" si="2"/>
        <v>6293420136</v>
      </c>
      <c r="D28" s="266">
        <f>SUM(D8:D27)</f>
        <v>800000</v>
      </c>
      <c r="E28" s="266">
        <f>SUM(E8:E27)</f>
        <v>500000</v>
      </c>
      <c r="F28" s="266">
        <f t="shared" si="2"/>
        <v>31666000</v>
      </c>
      <c r="G28" s="266">
        <f>SUM(G8:G27)</f>
        <v>15320768</v>
      </c>
      <c r="H28" s="266">
        <f>SUM(H8:H27)</f>
        <v>392896000</v>
      </c>
      <c r="I28" s="266">
        <f>SUM(I8:I27)</f>
        <v>276960700</v>
      </c>
      <c r="J28" s="266">
        <f>SUM(J8:J27)</f>
        <v>84411950</v>
      </c>
      <c r="K28" s="266">
        <f>SUM(K8:K27)</f>
        <v>39070228</v>
      </c>
      <c r="L28" s="266">
        <f t="shared" si="2"/>
        <v>24554200</v>
      </c>
      <c r="M28" s="266">
        <f t="shared" si="2"/>
        <v>12574800</v>
      </c>
      <c r="N28" s="266">
        <f t="shared" si="2"/>
        <v>2663300</v>
      </c>
      <c r="O28" s="266">
        <f t="shared" si="2"/>
        <v>602750</v>
      </c>
      <c r="P28" s="266">
        <f t="shared" ref="P28:S28" si="3">SUM(P8:P27)</f>
        <v>19585400</v>
      </c>
      <c r="Q28" s="266">
        <f t="shared" si="3"/>
        <v>10312480</v>
      </c>
      <c r="R28" s="266">
        <f t="shared" si="3"/>
        <v>79819500</v>
      </c>
      <c r="S28" s="266">
        <f t="shared" si="3"/>
        <v>41379500</v>
      </c>
      <c r="T28" s="266">
        <f t="shared" si="2"/>
        <v>11452700</v>
      </c>
      <c r="U28" s="266">
        <f t="shared" si="2"/>
        <v>6764550</v>
      </c>
      <c r="V28" s="266">
        <f>SUM(V8:V27)</f>
        <v>3475136700</v>
      </c>
      <c r="W28" s="266">
        <f>SUM(W8:W27)</f>
        <v>1841490050</v>
      </c>
      <c r="X28" s="266">
        <f t="shared" si="2"/>
        <v>6355534000</v>
      </c>
      <c r="Y28" s="266">
        <f t="shared" si="2"/>
        <v>3962822480</v>
      </c>
      <c r="Z28" s="266">
        <f t="shared" si="2"/>
        <v>36258000</v>
      </c>
      <c r="AA28" s="266">
        <f t="shared" si="2"/>
        <v>22800000</v>
      </c>
      <c r="AB28" s="266">
        <f>SUM(AB8:AB27)</f>
        <v>254000</v>
      </c>
      <c r="AC28" s="266">
        <f>SUM(AC8:AC27)</f>
        <v>5000</v>
      </c>
      <c r="AD28" s="266">
        <f t="shared" si="2"/>
        <v>53580300</v>
      </c>
      <c r="AE28" s="266">
        <f t="shared" si="2"/>
        <v>36358000</v>
      </c>
      <c r="AF28" s="266">
        <f t="shared" si="2"/>
        <v>10000000</v>
      </c>
      <c r="AG28" s="266">
        <f t="shared" si="2"/>
        <v>10000000</v>
      </c>
      <c r="AH28" s="266">
        <f t="shared" si="2"/>
        <v>19262200</v>
      </c>
      <c r="AI28" s="266">
        <f t="shared" si="2"/>
        <v>8964800</v>
      </c>
      <c r="AJ28" s="266">
        <f>SUM(AJ8:AJ27)</f>
        <v>30328144</v>
      </c>
      <c r="AK28" s="266">
        <f>SUM(AK8:AK27)</f>
        <v>0</v>
      </c>
      <c r="AL28" s="266">
        <f t="shared" si="2"/>
        <v>14988060</v>
      </c>
      <c r="AM28" s="266">
        <f t="shared" si="2"/>
        <v>7494030</v>
      </c>
      <c r="AP28" s="410"/>
      <c r="AQ28" s="265"/>
      <c r="AR28" s="265"/>
      <c r="AS28" s="265"/>
    </row>
    <row r="29" spans="1:45" x14ac:dyDescent="0.3">
      <c r="B29" s="416"/>
      <c r="C29" s="416"/>
      <c r="D29" s="416"/>
      <c r="E29" s="416"/>
      <c r="F29" s="416"/>
      <c r="G29" s="416"/>
      <c r="H29" s="416"/>
      <c r="I29" s="416"/>
      <c r="J29" s="416"/>
      <c r="K29" s="416"/>
      <c r="L29" s="416"/>
      <c r="M29" s="416"/>
      <c r="N29" s="416"/>
      <c r="O29" s="416"/>
      <c r="P29" s="416"/>
      <c r="Q29" s="416"/>
      <c r="R29" s="416"/>
      <c r="S29" s="416"/>
      <c r="T29" s="416"/>
      <c r="U29" s="416"/>
      <c r="V29" s="416"/>
      <c r="W29" s="416"/>
      <c r="X29" s="416"/>
      <c r="Y29" s="416"/>
      <c r="Z29" s="416"/>
      <c r="AA29" s="416"/>
      <c r="AB29" s="416"/>
      <c r="AC29" s="416"/>
      <c r="AD29" s="416"/>
      <c r="AE29" s="416"/>
      <c r="AF29" s="416"/>
      <c r="AG29" s="416"/>
      <c r="AH29" s="416"/>
      <c r="AI29" s="416"/>
      <c r="AJ29" s="416"/>
      <c r="AK29" s="416"/>
      <c r="AL29" s="416"/>
      <c r="AM29" s="416"/>
      <c r="AP29" s="410"/>
      <c r="AQ29" s="265"/>
      <c r="AR29" s="265"/>
      <c r="AS29" s="265"/>
    </row>
    <row r="30" spans="1:45" x14ac:dyDescent="0.3">
      <c r="B30" s="416"/>
      <c r="C30" s="416"/>
      <c r="D30" s="416"/>
      <c r="E30" s="416"/>
      <c r="F30" s="416"/>
      <c r="G30" s="416"/>
      <c r="H30" s="416"/>
      <c r="I30" s="416"/>
      <c r="J30" s="416"/>
      <c r="K30" s="416"/>
      <c r="L30" s="416"/>
      <c r="M30" s="416"/>
      <c r="N30" s="416"/>
      <c r="O30" s="416"/>
      <c r="P30" s="416"/>
      <c r="Q30" s="416"/>
      <c r="R30" s="416"/>
      <c r="S30" s="416"/>
      <c r="T30" s="416"/>
      <c r="U30" s="416"/>
      <c r="V30" s="416"/>
      <c r="W30" s="416"/>
      <c r="X30" s="416"/>
      <c r="Y30" s="416"/>
      <c r="Z30" s="416"/>
      <c r="AA30" s="416"/>
      <c r="AB30" s="416"/>
      <c r="AC30" s="416"/>
      <c r="AD30" s="416"/>
      <c r="AE30" s="416"/>
      <c r="AF30" s="416"/>
      <c r="AG30" s="416"/>
      <c r="AH30" s="416"/>
      <c r="AI30" s="416"/>
      <c r="AJ30" s="416"/>
      <c r="AK30" s="416"/>
      <c r="AL30" s="416"/>
      <c r="AM30" s="416"/>
      <c r="AP30" s="410"/>
      <c r="AQ30" s="265"/>
      <c r="AR30" s="265"/>
      <c r="AS30" s="265"/>
    </row>
    <row r="31" spans="1:45" ht="21" customHeight="1" x14ac:dyDescent="0.3">
      <c r="A31" s="413" t="s">
        <v>60</v>
      </c>
      <c r="B31" s="412">
        <f t="shared" ref="B31:AM31" si="4">SUM(B8:B25)</f>
        <v>5563053769</v>
      </c>
      <c r="C31" s="412">
        <f t="shared" si="4"/>
        <v>3397959206</v>
      </c>
      <c r="D31" s="412">
        <f>SUM(D8:D25)</f>
        <v>500000</v>
      </c>
      <c r="E31" s="412">
        <f>SUM(E8:E25)</f>
        <v>300000</v>
      </c>
      <c r="F31" s="412">
        <f t="shared" si="4"/>
        <v>31666000</v>
      </c>
      <c r="G31" s="412">
        <f>SUM(G8:G25)</f>
        <v>15320768</v>
      </c>
      <c r="H31" s="412">
        <f>SUM(H8:H25)</f>
        <v>181769752</v>
      </c>
      <c r="I31" s="412">
        <f>SUM(I8:I25)</f>
        <v>129517450</v>
      </c>
      <c r="J31" s="412">
        <f>SUM(J8:J25)</f>
        <v>52301850</v>
      </c>
      <c r="K31" s="412">
        <f>SUM(K8:K25)</f>
        <v>25620228</v>
      </c>
      <c r="L31" s="412">
        <f t="shared" si="4"/>
        <v>17353700</v>
      </c>
      <c r="M31" s="412">
        <f t="shared" si="4"/>
        <v>9048900</v>
      </c>
      <c r="N31" s="412">
        <f t="shared" si="4"/>
        <v>1306500</v>
      </c>
      <c r="O31" s="412">
        <f t="shared" si="4"/>
        <v>100500</v>
      </c>
      <c r="P31" s="412">
        <f t="shared" ref="P31:S31" si="5">SUM(P8:P25)</f>
        <v>9744480</v>
      </c>
      <c r="Q31" s="412">
        <f t="shared" si="5"/>
        <v>5264480</v>
      </c>
      <c r="R31" s="412">
        <f t="shared" si="5"/>
        <v>49642300</v>
      </c>
      <c r="S31" s="412">
        <f t="shared" si="5"/>
        <v>25649500</v>
      </c>
      <c r="T31" s="412">
        <f t="shared" si="4"/>
        <v>9455300</v>
      </c>
      <c r="U31" s="412">
        <f t="shared" si="4"/>
        <v>5586950</v>
      </c>
      <c r="V31" s="412">
        <f>SUM(V8:V25)</f>
        <v>1264094000</v>
      </c>
      <c r="W31" s="412">
        <f>SUM(W8:W25)</f>
        <v>725225800</v>
      </c>
      <c r="X31" s="412">
        <f t="shared" si="4"/>
        <v>3868254000</v>
      </c>
      <c r="Y31" s="412">
        <f t="shared" si="4"/>
        <v>2417237800</v>
      </c>
      <c r="Z31" s="412">
        <f t="shared" si="4"/>
        <v>685000</v>
      </c>
      <c r="AA31" s="412">
        <f t="shared" si="4"/>
        <v>400000</v>
      </c>
      <c r="AB31" s="412">
        <f>SUM(AB8:AB25)</f>
        <v>112500</v>
      </c>
      <c r="AC31" s="412">
        <f>SUM(AC8:AC25)</f>
        <v>5000</v>
      </c>
      <c r="AD31" s="412">
        <f t="shared" si="4"/>
        <v>40958400</v>
      </c>
      <c r="AE31" s="412">
        <f t="shared" si="4"/>
        <v>25608000</v>
      </c>
      <c r="AF31" s="412">
        <f t="shared" si="4"/>
        <v>0</v>
      </c>
      <c r="AG31" s="412">
        <f t="shared" si="4"/>
        <v>0</v>
      </c>
      <c r="AH31" s="412">
        <f t="shared" si="4"/>
        <v>12215300</v>
      </c>
      <c r="AI31" s="412">
        <f t="shared" si="4"/>
        <v>5579800</v>
      </c>
      <c r="AJ31" s="412">
        <f>SUM(AJ8:AJ25)</f>
        <v>8006627</v>
      </c>
      <c r="AK31" s="412">
        <f>SUM(AK8:AK25)</f>
        <v>0</v>
      </c>
      <c r="AL31" s="412">
        <f t="shared" si="4"/>
        <v>14988060</v>
      </c>
      <c r="AM31" s="412">
        <f t="shared" si="4"/>
        <v>7494030</v>
      </c>
      <c r="AP31" s="410"/>
      <c r="AQ31" s="265"/>
      <c r="AR31" s="265"/>
      <c r="AS31" s="265"/>
    </row>
    <row r="32" spans="1:45" ht="21" customHeight="1" x14ac:dyDescent="0.3">
      <c r="A32" s="413" t="s">
        <v>126</v>
      </c>
      <c r="B32" s="412">
        <f t="shared" ref="B32:AM32" si="6">SUM(B26:B27)</f>
        <v>5080136685</v>
      </c>
      <c r="C32" s="412">
        <f t="shared" si="6"/>
        <v>2895460930</v>
      </c>
      <c r="D32" s="412">
        <f>SUM(D26:D27)</f>
        <v>300000</v>
      </c>
      <c r="E32" s="412">
        <f>SUM(E26:E27)</f>
        <v>200000</v>
      </c>
      <c r="F32" s="412">
        <f t="shared" si="6"/>
        <v>0</v>
      </c>
      <c r="G32" s="412">
        <f t="shared" si="6"/>
        <v>0</v>
      </c>
      <c r="H32" s="412">
        <f>SUM(H26:H27)</f>
        <v>211126248</v>
      </c>
      <c r="I32" s="412">
        <f>SUM(I26:I27)</f>
        <v>147443250</v>
      </c>
      <c r="J32" s="412">
        <f>SUM(J26:J27)</f>
        <v>32110100</v>
      </c>
      <c r="K32" s="412">
        <f>SUM(K26:K27)</f>
        <v>13450000</v>
      </c>
      <c r="L32" s="412">
        <f t="shared" si="6"/>
        <v>7200500</v>
      </c>
      <c r="M32" s="412">
        <f t="shared" si="6"/>
        <v>3525900</v>
      </c>
      <c r="N32" s="412">
        <f t="shared" si="6"/>
        <v>1356800</v>
      </c>
      <c r="O32" s="412">
        <f t="shared" si="6"/>
        <v>502250</v>
      </c>
      <c r="P32" s="412">
        <f t="shared" ref="P32:S32" si="7">SUM(P26:P27)</f>
        <v>9840920</v>
      </c>
      <c r="Q32" s="412">
        <f t="shared" si="7"/>
        <v>5048000</v>
      </c>
      <c r="R32" s="412">
        <f t="shared" si="7"/>
        <v>30177200</v>
      </c>
      <c r="S32" s="412">
        <f t="shared" si="7"/>
        <v>15730000</v>
      </c>
      <c r="T32" s="412">
        <f t="shared" si="6"/>
        <v>1997400</v>
      </c>
      <c r="U32" s="412">
        <f t="shared" si="6"/>
        <v>1177600</v>
      </c>
      <c r="V32" s="412">
        <f>SUM(V26:V27)</f>
        <v>2211042700</v>
      </c>
      <c r="W32" s="412">
        <f>SUM(W26:W27)</f>
        <v>1116264250</v>
      </c>
      <c r="X32" s="412">
        <f t="shared" si="6"/>
        <v>2487280000</v>
      </c>
      <c r="Y32" s="412">
        <f t="shared" si="6"/>
        <v>1545584680</v>
      </c>
      <c r="Z32" s="412">
        <f t="shared" si="6"/>
        <v>35573000</v>
      </c>
      <c r="AA32" s="412">
        <f t="shared" si="6"/>
        <v>22400000</v>
      </c>
      <c r="AB32" s="412">
        <f>SUM(AB26:AB27)</f>
        <v>141500</v>
      </c>
      <c r="AC32" s="412">
        <f>SUM(AC26:AC27)</f>
        <v>0</v>
      </c>
      <c r="AD32" s="412">
        <f t="shared" si="6"/>
        <v>12621900</v>
      </c>
      <c r="AE32" s="412">
        <f t="shared" si="6"/>
        <v>10750000</v>
      </c>
      <c r="AF32" s="412">
        <f t="shared" si="6"/>
        <v>10000000</v>
      </c>
      <c r="AG32" s="412">
        <f t="shared" si="6"/>
        <v>10000000</v>
      </c>
      <c r="AH32" s="412">
        <f t="shared" si="6"/>
        <v>7046900</v>
      </c>
      <c r="AI32" s="412">
        <f t="shared" si="6"/>
        <v>3385000</v>
      </c>
      <c r="AJ32" s="412">
        <f>SUM(AJ26:AJ27)</f>
        <v>22321517</v>
      </c>
      <c r="AK32" s="412">
        <f>SUM(AK26:AK27)</f>
        <v>0</v>
      </c>
      <c r="AL32" s="412">
        <f t="shared" si="6"/>
        <v>0</v>
      </c>
      <c r="AM32" s="412">
        <f t="shared" si="6"/>
        <v>0</v>
      </c>
      <c r="AP32" s="410"/>
      <c r="AQ32" s="265"/>
      <c r="AR32" s="265"/>
      <c r="AS32" s="265"/>
    </row>
    <row r="33" spans="1:45" ht="17.25" customHeight="1" x14ac:dyDescent="0.3">
      <c r="F33" s="409"/>
      <c r="G33" s="409"/>
      <c r="H33" s="409"/>
      <c r="I33" s="409"/>
      <c r="J33" s="409"/>
      <c r="K33" s="409"/>
      <c r="L33" s="409"/>
      <c r="M33" s="409"/>
      <c r="N33" s="409"/>
      <c r="O33" s="409"/>
      <c r="P33" s="409"/>
      <c r="Q33" s="409"/>
      <c r="R33" s="409"/>
      <c r="S33" s="409"/>
      <c r="T33" s="409"/>
      <c r="U33" s="409"/>
      <c r="V33" s="409"/>
      <c r="W33" s="409"/>
      <c r="X33" s="409"/>
      <c r="Y33" s="409"/>
      <c r="Z33" s="409"/>
      <c r="AA33" s="409"/>
      <c r="AB33" s="409"/>
      <c r="AC33" s="409"/>
      <c r="AD33" s="409"/>
      <c r="AE33" s="409"/>
      <c r="AF33" s="409"/>
      <c r="AG33" s="409"/>
      <c r="AH33" s="409"/>
      <c r="AI33" s="409"/>
      <c r="AJ33" s="409"/>
      <c r="AK33" s="409"/>
      <c r="AL33" s="409"/>
      <c r="AM33" s="409"/>
      <c r="AP33" s="410"/>
      <c r="AQ33" s="265"/>
      <c r="AR33" s="265"/>
      <c r="AS33" s="265"/>
    </row>
    <row r="34" spans="1:45" ht="17.25" customHeight="1" x14ac:dyDescent="0.3">
      <c r="A34" s="411"/>
      <c r="AP34" s="410"/>
      <c r="AQ34" s="265"/>
      <c r="AR34" s="265"/>
      <c r="AS34" s="265"/>
    </row>
    <row r="35" spans="1:45" ht="17.25" customHeight="1" x14ac:dyDescent="0.3">
      <c r="A35" s="411"/>
      <c r="AP35" s="410"/>
      <c r="AQ35" s="265"/>
      <c r="AR35" s="265"/>
      <c r="AS35" s="265"/>
    </row>
    <row r="36" spans="1:45" x14ac:dyDescent="0.3">
      <c r="A36" s="411"/>
      <c r="B36" s="415"/>
      <c r="C36" s="415"/>
      <c r="D36" s="415"/>
      <c r="E36" s="415"/>
      <c r="AP36" s="410"/>
      <c r="AQ36" s="265"/>
      <c r="AR36" s="265"/>
      <c r="AS36" s="265"/>
    </row>
    <row r="37" spans="1:45" ht="17.25" customHeight="1" x14ac:dyDescent="0.3">
      <c r="A37" s="411"/>
      <c r="B37" s="415"/>
      <c r="C37" s="415"/>
      <c r="D37" s="415"/>
      <c r="E37" s="415"/>
      <c r="AP37" s="410"/>
      <c r="AQ37" s="265"/>
      <c r="AR37" s="265"/>
      <c r="AS37" s="265"/>
    </row>
    <row r="38" spans="1:45" ht="17.25" customHeight="1" x14ac:dyDescent="0.3">
      <c r="A38" s="411"/>
      <c r="B38" s="415"/>
      <c r="C38" s="415"/>
      <c r="D38" s="415"/>
      <c r="E38" s="415"/>
      <c r="AP38" s="410"/>
      <c r="AQ38" s="265"/>
      <c r="AR38" s="265"/>
      <c r="AS38" s="265"/>
    </row>
    <row r="39" spans="1:45" ht="17.25" customHeight="1" x14ac:dyDescent="0.3">
      <c r="A39" s="411"/>
      <c r="B39" s="415"/>
      <c r="C39" s="415"/>
      <c r="D39" s="415"/>
      <c r="E39" s="415"/>
      <c r="AP39" s="410"/>
      <c r="AQ39" s="265"/>
      <c r="AR39" s="265"/>
      <c r="AS39" s="265"/>
    </row>
    <row r="40" spans="1:45" ht="17.25" customHeight="1" x14ac:dyDescent="0.3">
      <c r="AP40" s="410"/>
      <c r="AQ40" s="265"/>
      <c r="AR40" s="265"/>
      <c r="AS40" s="265"/>
    </row>
    <row r="41" spans="1:45" ht="17.25" customHeight="1" x14ac:dyDescent="0.3">
      <c r="AP41" s="410"/>
      <c r="AQ41" s="265"/>
      <c r="AR41" s="265"/>
      <c r="AS41" s="265"/>
    </row>
    <row r="42" spans="1:45" ht="17.25" customHeight="1" x14ac:dyDescent="0.3">
      <c r="AP42" s="410"/>
      <c r="AQ42" s="265"/>
      <c r="AR42" s="265"/>
      <c r="AS42" s="265"/>
    </row>
    <row r="43" spans="1:45" ht="17.25" customHeight="1" x14ac:dyDescent="0.3">
      <c r="AP43" s="410"/>
      <c r="AQ43" s="265"/>
      <c r="AR43" s="265"/>
      <c r="AS43" s="265"/>
    </row>
    <row r="44" spans="1:45" ht="17.25" customHeight="1" x14ac:dyDescent="0.3">
      <c r="AP44" s="406"/>
      <c r="AQ44" s="404"/>
      <c r="AR44" s="404"/>
      <c r="AS44" s="404"/>
    </row>
  </sheetData>
  <mergeCells count="40">
    <mergeCell ref="AJ5:AK5"/>
    <mergeCell ref="AJ6:AK6"/>
    <mergeCell ref="AF5:AG5"/>
    <mergeCell ref="AF6:AG6"/>
    <mergeCell ref="Z5:AA5"/>
    <mergeCell ref="AD5:AE5"/>
    <mergeCell ref="AH5:AI5"/>
    <mergeCell ref="V5:W5"/>
    <mergeCell ref="AB5:AC5"/>
    <mergeCell ref="Z6:AA6"/>
    <mergeCell ref="T6:U6"/>
    <mergeCell ref="X5:Y5"/>
    <mergeCell ref="X6:Y6"/>
    <mergeCell ref="V6:W6"/>
    <mergeCell ref="R6:S6"/>
    <mergeCell ref="T5:U5"/>
    <mergeCell ref="AL6:AM6"/>
    <mergeCell ref="J5:K5"/>
    <mergeCell ref="J6:K6"/>
    <mergeCell ref="N6:O6"/>
    <mergeCell ref="AD6:AE6"/>
    <mergeCell ref="R5:S5"/>
    <mergeCell ref="L6:M6"/>
    <mergeCell ref="AL5:AM5"/>
    <mergeCell ref="AH6:AI6"/>
    <mergeCell ref="L5:M5"/>
    <mergeCell ref="N5:O5"/>
    <mergeCell ref="AB6:AC6"/>
    <mergeCell ref="P5:Q5"/>
    <mergeCell ref="P6:Q6"/>
    <mergeCell ref="C2:H2"/>
    <mergeCell ref="I2:K2"/>
    <mergeCell ref="A5:A6"/>
    <mergeCell ref="B5:C6"/>
    <mergeCell ref="F5:G5"/>
    <mergeCell ref="H6:I6"/>
    <mergeCell ref="H5:I5"/>
    <mergeCell ref="F6:G6"/>
    <mergeCell ref="D5:E5"/>
    <mergeCell ref="D6:E6"/>
  </mergeCells>
  <phoneticPr fontId="0" type="noConversion"/>
  <pageMargins left="0.78740157480314965" right="0.39370078740157483" top="0.78740157480314965" bottom="0.59055118110236227" header="0.51181102362204722" footer="0.51181102362204722"/>
  <pageSetup paperSize="9" scale="48" fitToWidth="15" orientation="landscape" r:id="rId1"/>
  <headerFooter alignWithMargins="0">
    <oddFooter>&amp;L&amp;P&amp;R&amp;Z&amp;F&amp;A</oddFooter>
  </headerFooter>
  <colBreaks count="3" manualBreakCount="3">
    <brk id="11" max="31" man="1"/>
    <brk id="21" max="31" man="1"/>
    <brk id="31" max="3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2"/>
  <dimension ref="A1:BO81"/>
  <sheetViews>
    <sheetView topLeftCell="A2" zoomScale="60" zoomScaleNormal="60" workbookViewId="0">
      <pane xSplit="1" ySplit="9" topLeftCell="B26" activePane="bottomRight" state="frozen"/>
      <selection activeCell="A2" sqref="A2"/>
      <selection pane="topRight" activeCell="B2" sqref="B2"/>
      <selection pane="bottomLeft" activeCell="A11" sqref="A11"/>
      <selection pane="bottomRight" activeCell="BE11" sqref="BE11"/>
    </sheetView>
  </sheetViews>
  <sheetFormatPr defaultRowHeight="13.2" x14ac:dyDescent="0.25"/>
  <cols>
    <col min="1" max="1" width="24.5546875" customWidth="1"/>
    <col min="2" max="2" width="22.44140625" customWidth="1"/>
    <col min="3" max="4" width="21.5546875" customWidth="1"/>
    <col min="5" max="5" width="22.44140625" customWidth="1"/>
    <col min="6" max="6" width="19.5546875" customWidth="1"/>
    <col min="7" max="7" width="16.88671875" hidden="1" customWidth="1"/>
    <col min="8" max="8" width="21.44140625" customWidth="1"/>
    <col min="9" max="9" width="20.44140625" customWidth="1"/>
    <col min="10" max="10" width="22.5546875" customWidth="1"/>
    <col min="11" max="11" width="20.88671875" customWidth="1"/>
    <col min="12" max="12" width="19.44140625" customWidth="1"/>
    <col min="13" max="13" width="18.44140625" hidden="1" customWidth="1"/>
    <col min="14" max="14" width="22" customWidth="1"/>
    <col min="15" max="16" width="20.5546875" customWidth="1"/>
    <col min="17" max="17" width="18.44140625" customWidth="1"/>
    <col min="18" max="18" width="18.5546875" customWidth="1"/>
    <col min="19" max="19" width="17.44140625" hidden="1" customWidth="1"/>
    <col min="20" max="20" width="19.44140625" customWidth="1"/>
    <col min="21" max="21" width="19" customWidth="1"/>
    <col min="22" max="22" width="18.109375" customWidth="1"/>
    <col min="23" max="23" width="18" customWidth="1"/>
    <col min="24" max="24" width="17.44140625" customWidth="1"/>
    <col min="25" max="25" width="17.44140625" hidden="1" customWidth="1"/>
    <col min="26" max="26" width="19.109375" customWidth="1"/>
    <col min="27" max="27" width="19.88671875" customWidth="1"/>
    <col min="28" max="28" width="18.44140625" customWidth="1"/>
    <col min="29" max="29" width="17.44140625" customWidth="1"/>
    <col min="30" max="30" width="18.5546875" customWidth="1"/>
    <col min="31" max="31" width="17.44140625" hidden="1" customWidth="1"/>
    <col min="32" max="32" width="21.44140625" customWidth="1"/>
    <col min="33" max="33" width="21.109375" customWidth="1"/>
    <col min="34" max="35" width="20.5546875" customWidth="1"/>
    <col min="36" max="36" width="19.5546875" customWidth="1"/>
    <col min="37" max="37" width="18" hidden="1" customWidth="1"/>
    <col min="38" max="38" width="21.44140625" customWidth="1"/>
    <col min="39" max="39" width="20.5546875" customWidth="1"/>
    <col min="40" max="40" width="19.44140625" customWidth="1"/>
    <col min="41" max="41" width="20.5546875" customWidth="1"/>
    <col min="42" max="42" width="19.5546875" customWidth="1"/>
    <col min="43" max="43" width="17.44140625" hidden="1" customWidth="1"/>
    <col min="44" max="44" width="20.109375" bestFit="1" customWidth="1"/>
    <col min="45" max="45" width="18.88671875" customWidth="1"/>
    <col min="46" max="46" width="20" customWidth="1"/>
    <col min="47" max="47" width="18.5546875" customWidth="1"/>
    <col min="48" max="48" width="18.44140625" customWidth="1"/>
    <col min="49" max="49" width="17.5546875" hidden="1" customWidth="1"/>
    <col min="50" max="51" width="18.5546875" bestFit="1" customWidth="1"/>
    <col min="52" max="53" width="18.109375" customWidth="1"/>
    <col min="54" max="54" width="18.5546875" customWidth="1"/>
    <col min="55" max="55" width="16.5546875" hidden="1" customWidth="1"/>
    <col min="56" max="56" width="18.109375" customWidth="1"/>
    <col min="57" max="57" width="18.5546875" customWidth="1"/>
    <col min="58" max="58" width="19.44140625" customWidth="1"/>
    <col min="59" max="59" width="16.5546875" customWidth="1"/>
    <col min="60" max="60" width="19.6640625" customWidth="1"/>
    <col min="61" max="61" width="16.5546875" hidden="1" customWidth="1"/>
    <col min="63" max="63" width="18.6640625" customWidth="1"/>
    <col min="64" max="64" width="22.44140625" bestFit="1" customWidth="1"/>
    <col min="65" max="65" width="16.109375" bestFit="1" customWidth="1"/>
    <col min="66" max="66" width="14.44140625" bestFit="1" customWidth="1"/>
    <col min="67" max="67" width="12.109375" bestFit="1" customWidth="1"/>
  </cols>
  <sheetData>
    <row r="1" spans="1:67"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67" ht="16.8" x14ac:dyDescent="0.3">
      <c r="A2" s="1"/>
      <c r="D2" s="2" t="s">
        <v>28</v>
      </c>
      <c r="H2" s="3"/>
      <c r="I2" s="3"/>
      <c r="J2" s="3"/>
      <c r="K2" s="1"/>
      <c r="L2" s="1"/>
      <c r="M2" s="1"/>
      <c r="N2" s="1"/>
      <c r="O2" s="1"/>
      <c r="P2" s="1"/>
      <c r="Q2" s="1"/>
      <c r="R2" s="1"/>
      <c r="S2" s="1"/>
      <c r="T2" s="1"/>
      <c r="U2" s="1"/>
      <c r="V2" s="1"/>
      <c r="W2" s="1"/>
      <c r="X2" s="1"/>
      <c r="Y2" s="1"/>
      <c r="Z2" s="1"/>
      <c r="AA2" s="1"/>
      <c r="AB2" s="1"/>
      <c r="AC2" s="1"/>
      <c r="AD2" s="1"/>
      <c r="AE2" s="1"/>
    </row>
    <row r="3" spans="1:67" ht="16.8" x14ac:dyDescent="0.3">
      <c r="A3" s="1"/>
      <c r="D3" s="2"/>
      <c r="E3" s="4" t="str">
        <f>'План и исполнение'!F3</f>
        <v>ПО  СОСТОЯНИЮ  НА  1  ИЮЛЯ  2020  ГОДА</v>
      </c>
      <c r="F3" s="4"/>
      <c r="H3" s="3"/>
      <c r="I3" s="3"/>
      <c r="J3" s="3"/>
      <c r="K3" s="1"/>
      <c r="L3" s="1"/>
      <c r="M3" s="1"/>
      <c r="N3" s="1"/>
      <c r="O3" s="1"/>
      <c r="P3" s="1"/>
      <c r="Q3" s="1"/>
      <c r="R3" s="1"/>
      <c r="S3" s="1"/>
      <c r="T3" s="1"/>
      <c r="U3" s="1"/>
      <c r="V3" s="1"/>
      <c r="W3" s="1"/>
      <c r="X3" s="1"/>
      <c r="Y3" s="1"/>
      <c r="Z3" s="1"/>
      <c r="AA3" s="1"/>
      <c r="AB3" s="1"/>
      <c r="AC3" s="1"/>
      <c r="AD3" s="1"/>
      <c r="AE3" s="1"/>
    </row>
    <row r="4" spans="1:67"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row>
    <row r="5" spans="1:67" ht="14.4" thickBot="1" x14ac:dyDescent="0.3">
      <c r="A5" s="1"/>
      <c r="B5" s="1"/>
      <c r="C5" s="1"/>
      <c r="D5" s="1"/>
      <c r="E5" s="1"/>
      <c r="F5" s="1"/>
      <c r="G5" s="1"/>
      <c r="H5" s="1"/>
      <c r="I5" s="1"/>
      <c r="J5" s="1"/>
      <c r="K5" s="1"/>
      <c r="L5" s="1"/>
      <c r="M5" s="1"/>
      <c r="AM5" s="1"/>
      <c r="AN5" s="1"/>
      <c r="AO5" s="1"/>
      <c r="AP5" s="1"/>
      <c r="AQ5" s="1"/>
      <c r="AU5" s="5" t="s">
        <v>20</v>
      </c>
      <c r="AV5" s="5"/>
    </row>
    <row r="6" spans="1:67" ht="18" customHeight="1" x14ac:dyDescent="0.25">
      <c r="A6" s="1831" t="s">
        <v>12</v>
      </c>
      <c r="B6" s="1822" t="s">
        <v>13</v>
      </c>
      <c r="C6" s="1823"/>
      <c r="D6" s="1823"/>
      <c r="E6" s="1823"/>
      <c r="F6" s="1823"/>
      <c r="G6" s="1823"/>
      <c r="H6" s="1823"/>
      <c r="I6" s="1823"/>
      <c r="J6" s="1823"/>
      <c r="K6" s="1823"/>
      <c r="L6" s="1823"/>
      <c r="M6" s="1823"/>
      <c r="N6" s="1823"/>
      <c r="O6" s="1823"/>
      <c r="P6" s="1823"/>
      <c r="Q6" s="1823"/>
      <c r="R6" s="1823"/>
      <c r="S6" s="1823"/>
      <c r="T6" s="1823"/>
      <c r="U6" s="1823"/>
      <c r="V6" s="1823"/>
      <c r="W6" s="1823"/>
      <c r="X6" s="1823"/>
      <c r="Y6" s="1823"/>
      <c r="Z6" s="1823"/>
      <c r="AA6" s="1823"/>
      <c r="AB6" s="1823"/>
      <c r="AC6" s="1823"/>
      <c r="AD6" s="1823"/>
      <c r="AE6" s="1835"/>
      <c r="AF6" s="1822" t="s">
        <v>14</v>
      </c>
      <c r="AG6" s="1823"/>
      <c r="AH6" s="1823"/>
      <c r="AI6" s="1823"/>
      <c r="AJ6" s="1823"/>
      <c r="AK6" s="1823"/>
      <c r="AL6" s="1823"/>
      <c r="AM6" s="1823"/>
      <c r="AN6" s="1823"/>
      <c r="AO6" s="1823"/>
      <c r="AP6" s="1823"/>
      <c r="AQ6" s="1823"/>
      <c r="AR6" s="1823"/>
      <c r="AS6" s="1823"/>
      <c r="AT6" s="1823"/>
      <c r="AU6" s="1823"/>
      <c r="AV6" s="1823"/>
      <c r="AW6" s="1823"/>
      <c r="AX6" s="1823"/>
      <c r="AY6" s="1823"/>
      <c r="AZ6" s="1823"/>
      <c r="BA6" s="1823"/>
      <c r="BB6" s="1823"/>
      <c r="BC6" s="1823"/>
      <c r="BD6" s="1823"/>
      <c r="BE6" s="1823"/>
      <c r="BF6" s="1823"/>
      <c r="BG6" s="1823"/>
      <c r="BH6" s="1823"/>
      <c r="BI6" s="1823"/>
      <c r="BJ6" s="1100"/>
    </row>
    <row r="7" spans="1:67" ht="18" customHeight="1" thickBot="1" x14ac:dyDescent="0.3">
      <c r="A7" s="1837"/>
      <c r="B7" s="1824"/>
      <c r="C7" s="1825"/>
      <c r="D7" s="1825"/>
      <c r="E7" s="1825"/>
      <c r="F7" s="1825"/>
      <c r="G7" s="1825"/>
      <c r="H7" s="1825"/>
      <c r="I7" s="1825"/>
      <c r="J7" s="1825"/>
      <c r="K7" s="1825"/>
      <c r="L7" s="1825"/>
      <c r="M7" s="1825"/>
      <c r="N7" s="1825"/>
      <c r="O7" s="1825"/>
      <c r="P7" s="1825"/>
      <c r="Q7" s="1825"/>
      <c r="R7" s="1825"/>
      <c r="S7" s="1825"/>
      <c r="T7" s="1825"/>
      <c r="U7" s="1825"/>
      <c r="V7" s="1825"/>
      <c r="W7" s="1825"/>
      <c r="X7" s="1825"/>
      <c r="Y7" s="1825"/>
      <c r="Z7" s="1825"/>
      <c r="AA7" s="1825"/>
      <c r="AB7" s="1825"/>
      <c r="AC7" s="1825"/>
      <c r="AD7" s="1825"/>
      <c r="AE7" s="1836"/>
      <c r="AF7" s="1824"/>
      <c r="AG7" s="1825"/>
      <c r="AH7" s="1825"/>
      <c r="AI7" s="1825"/>
      <c r="AJ7" s="1825"/>
      <c r="AK7" s="1825"/>
      <c r="AL7" s="1825"/>
      <c r="AM7" s="1825"/>
      <c r="AN7" s="1825"/>
      <c r="AO7" s="1825"/>
      <c r="AP7" s="1825"/>
      <c r="AQ7" s="1825"/>
      <c r="AR7" s="1825"/>
      <c r="AS7" s="1825"/>
      <c r="AT7" s="1825"/>
      <c r="AU7" s="1825"/>
      <c r="AV7" s="1825"/>
      <c r="AW7" s="1825"/>
      <c r="AX7" s="1825"/>
      <c r="AY7" s="1825"/>
      <c r="AZ7" s="1825"/>
      <c r="BA7" s="1825"/>
      <c r="BB7" s="1825"/>
      <c r="BC7" s="1825"/>
      <c r="BD7" s="1825"/>
      <c r="BE7" s="1825"/>
      <c r="BF7" s="1825"/>
      <c r="BG7" s="1825"/>
      <c r="BH7" s="1825"/>
      <c r="BI7" s="1825"/>
      <c r="BJ7" s="1100"/>
    </row>
    <row r="8" spans="1:67" ht="18" customHeight="1" thickBot="1" x14ac:dyDescent="0.3">
      <c r="A8" s="1837"/>
      <c r="B8" s="1831" t="s">
        <v>15</v>
      </c>
      <c r="C8" s="1822" t="s">
        <v>37</v>
      </c>
      <c r="D8" s="1823"/>
      <c r="E8" s="1823"/>
      <c r="F8" s="1823"/>
      <c r="G8" s="1835"/>
      <c r="H8" s="1832" t="s">
        <v>38</v>
      </c>
      <c r="I8" s="1833"/>
      <c r="J8" s="1833"/>
      <c r="K8" s="1833"/>
      <c r="L8" s="1833"/>
      <c r="M8" s="1833"/>
      <c r="N8" s="1833"/>
      <c r="O8" s="1833"/>
      <c r="P8" s="1833"/>
      <c r="Q8" s="1833"/>
      <c r="R8" s="1833"/>
      <c r="S8" s="1834"/>
      <c r="T8" s="1830" t="s">
        <v>118</v>
      </c>
      <c r="U8" s="1826"/>
      <c r="V8" s="1826"/>
      <c r="W8" s="1826"/>
      <c r="X8" s="1826"/>
      <c r="Y8" s="1827"/>
      <c r="Z8" s="1830" t="s">
        <v>117</v>
      </c>
      <c r="AA8" s="1826"/>
      <c r="AB8" s="1826"/>
      <c r="AC8" s="1826"/>
      <c r="AD8" s="1826"/>
      <c r="AE8" s="1827"/>
      <c r="AF8" s="1831" t="s">
        <v>15</v>
      </c>
      <c r="AG8" s="1822" t="s">
        <v>37</v>
      </c>
      <c r="AH8" s="1823"/>
      <c r="AI8" s="1823"/>
      <c r="AJ8" s="1823"/>
      <c r="AK8" s="1835"/>
      <c r="AL8" s="1832" t="s">
        <v>38</v>
      </c>
      <c r="AM8" s="1833"/>
      <c r="AN8" s="1833"/>
      <c r="AO8" s="1833"/>
      <c r="AP8" s="1833"/>
      <c r="AQ8" s="1833"/>
      <c r="AR8" s="1833"/>
      <c r="AS8" s="1833"/>
      <c r="AT8" s="1833"/>
      <c r="AU8" s="1833"/>
      <c r="AV8" s="1833"/>
      <c r="AW8" s="1834"/>
      <c r="AX8" s="1830" t="s">
        <v>118</v>
      </c>
      <c r="AY8" s="1826"/>
      <c r="AZ8" s="1826"/>
      <c r="BA8" s="1826"/>
      <c r="BB8" s="1826"/>
      <c r="BC8" s="1827"/>
      <c r="BD8" s="1830" t="s">
        <v>117</v>
      </c>
      <c r="BE8" s="1826"/>
      <c r="BF8" s="1826"/>
      <c r="BG8" s="1826"/>
      <c r="BH8" s="1826"/>
      <c r="BI8" s="1826"/>
      <c r="BJ8" s="1100"/>
    </row>
    <row r="9" spans="1:67" ht="18" customHeight="1" thickBot="1" x14ac:dyDescent="0.3">
      <c r="A9" s="1837"/>
      <c r="B9" s="1837"/>
      <c r="C9" s="1824"/>
      <c r="D9" s="1825"/>
      <c r="E9" s="1825"/>
      <c r="F9" s="1825"/>
      <c r="G9" s="1836"/>
      <c r="H9" s="1831" t="s">
        <v>97</v>
      </c>
      <c r="I9" s="1824" t="s">
        <v>98</v>
      </c>
      <c r="J9" s="1825"/>
      <c r="K9" s="1825"/>
      <c r="L9" s="1825"/>
      <c r="M9" s="1825"/>
      <c r="N9" s="1831" t="s">
        <v>99</v>
      </c>
      <c r="O9" s="1833" t="s">
        <v>98</v>
      </c>
      <c r="P9" s="1833"/>
      <c r="Q9" s="1833"/>
      <c r="R9" s="1833"/>
      <c r="S9" s="1834"/>
      <c r="T9" s="1828" t="s">
        <v>99</v>
      </c>
      <c r="U9" s="1826" t="s">
        <v>98</v>
      </c>
      <c r="V9" s="1826"/>
      <c r="W9" s="1826"/>
      <c r="X9" s="1826"/>
      <c r="Y9" s="1827"/>
      <c r="Z9" s="1828" t="s">
        <v>99</v>
      </c>
      <c r="AA9" s="1826" t="s">
        <v>98</v>
      </c>
      <c r="AB9" s="1826"/>
      <c r="AC9" s="1826"/>
      <c r="AD9" s="1826"/>
      <c r="AE9" s="1827"/>
      <c r="AF9" s="1837"/>
      <c r="AG9" s="1824"/>
      <c r="AH9" s="1825"/>
      <c r="AI9" s="1825"/>
      <c r="AJ9" s="1825"/>
      <c r="AK9" s="1836"/>
      <c r="AL9" s="1831" t="s">
        <v>97</v>
      </c>
      <c r="AM9" s="1824" t="s">
        <v>98</v>
      </c>
      <c r="AN9" s="1825"/>
      <c r="AO9" s="1825"/>
      <c r="AP9" s="1825"/>
      <c r="AQ9" s="1825"/>
      <c r="AR9" s="1831" t="s">
        <v>99</v>
      </c>
      <c r="AS9" s="1833" t="s">
        <v>98</v>
      </c>
      <c r="AT9" s="1833"/>
      <c r="AU9" s="1833"/>
      <c r="AV9" s="1833"/>
      <c r="AW9" s="1834"/>
      <c r="AX9" s="1828" t="s">
        <v>99</v>
      </c>
      <c r="AY9" s="1826" t="s">
        <v>98</v>
      </c>
      <c r="AZ9" s="1826"/>
      <c r="BA9" s="1826"/>
      <c r="BB9" s="1826"/>
      <c r="BC9" s="1827"/>
      <c r="BD9" s="1828" t="s">
        <v>99</v>
      </c>
      <c r="BE9" s="1826" t="s">
        <v>98</v>
      </c>
      <c r="BF9" s="1826"/>
      <c r="BG9" s="1826"/>
      <c r="BH9" s="1826"/>
      <c r="BI9" s="1826"/>
      <c r="BJ9" s="1100"/>
      <c r="BK9" s="1841" t="s">
        <v>156</v>
      </c>
      <c r="BL9" s="1841"/>
      <c r="BM9" s="1841"/>
      <c r="BN9" s="1841"/>
    </row>
    <row r="10" spans="1:67" ht="47.25" customHeight="1" thickBot="1" x14ac:dyDescent="0.3">
      <c r="A10" s="1838"/>
      <c r="B10" s="1837"/>
      <c r="C10" s="8" t="s">
        <v>100</v>
      </c>
      <c r="D10" s="210" t="s">
        <v>101</v>
      </c>
      <c r="E10" s="6" t="s">
        <v>77</v>
      </c>
      <c r="F10" s="10" t="s">
        <v>49</v>
      </c>
      <c r="G10" s="6" t="s">
        <v>78</v>
      </c>
      <c r="H10" s="1839"/>
      <c r="I10" s="6" t="s">
        <v>100</v>
      </c>
      <c r="J10" s="9" t="s">
        <v>101</v>
      </c>
      <c r="K10" s="6" t="s">
        <v>77</v>
      </c>
      <c r="L10" s="10" t="s">
        <v>49</v>
      </c>
      <c r="M10" s="7" t="s">
        <v>78</v>
      </c>
      <c r="N10" s="1837"/>
      <c r="O10" s="10" t="s">
        <v>100</v>
      </c>
      <c r="P10" s="10" t="s">
        <v>101</v>
      </c>
      <c r="Q10" s="10" t="s">
        <v>77</v>
      </c>
      <c r="R10" s="10" t="s">
        <v>49</v>
      </c>
      <c r="S10" s="10" t="s">
        <v>78</v>
      </c>
      <c r="T10" s="1843"/>
      <c r="U10" s="301" t="s">
        <v>100</v>
      </c>
      <c r="V10" s="300" t="s">
        <v>101</v>
      </c>
      <c r="W10" s="302" t="s">
        <v>77</v>
      </c>
      <c r="X10" s="300" t="s">
        <v>49</v>
      </c>
      <c r="Y10" s="303" t="s">
        <v>78</v>
      </c>
      <c r="Z10" s="1843"/>
      <c r="AA10" s="337" t="s">
        <v>100</v>
      </c>
      <c r="AB10" s="337" t="s">
        <v>101</v>
      </c>
      <c r="AC10" s="302" t="s">
        <v>77</v>
      </c>
      <c r="AD10" s="337" t="s">
        <v>49</v>
      </c>
      <c r="AE10" s="303" t="s">
        <v>78</v>
      </c>
      <c r="AF10" s="1838"/>
      <c r="AG10" s="1139" t="s">
        <v>100</v>
      </c>
      <c r="AH10" s="1142" t="s">
        <v>101</v>
      </c>
      <c r="AI10" s="10" t="s">
        <v>77</v>
      </c>
      <c r="AJ10" s="10" t="s">
        <v>49</v>
      </c>
      <c r="AK10" s="10" t="s">
        <v>78</v>
      </c>
      <c r="AL10" s="1825"/>
      <c r="AM10" s="10" t="s">
        <v>100</v>
      </c>
      <c r="AN10" s="1140" t="s">
        <v>101</v>
      </c>
      <c r="AO10" s="10" t="s">
        <v>77</v>
      </c>
      <c r="AP10" s="10" t="s">
        <v>49</v>
      </c>
      <c r="AQ10" s="1141" t="s">
        <v>78</v>
      </c>
      <c r="AR10" s="1838"/>
      <c r="AS10" s="10" t="s">
        <v>100</v>
      </c>
      <c r="AT10" s="10" t="s">
        <v>101</v>
      </c>
      <c r="AU10" s="10" t="s">
        <v>77</v>
      </c>
      <c r="AV10" s="10" t="s">
        <v>49</v>
      </c>
      <c r="AW10" s="10" t="s">
        <v>78</v>
      </c>
      <c r="AX10" s="1829"/>
      <c r="AY10" s="1143" t="s">
        <v>100</v>
      </c>
      <c r="AZ10" s="337" t="s">
        <v>101</v>
      </c>
      <c r="BA10" s="1137" t="s">
        <v>77</v>
      </c>
      <c r="BB10" s="337" t="s">
        <v>49</v>
      </c>
      <c r="BC10" s="1138" t="s">
        <v>78</v>
      </c>
      <c r="BD10" s="1829"/>
      <c r="BE10" s="337" t="s">
        <v>100</v>
      </c>
      <c r="BF10" s="337" t="s">
        <v>101</v>
      </c>
      <c r="BG10" s="337" t="s">
        <v>77</v>
      </c>
      <c r="BH10" s="337" t="s">
        <v>49</v>
      </c>
      <c r="BI10" s="337" t="s">
        <v>78</v>
      </c>
      <c r="BK10" s="1584" t="s">
        <v>882</v>
      </c>
      <c r="BL10" s="1584" t="s">
        <v>881</v>
      </c>
      <c r="BM10" s="1584" t="s">
        <v>879</v>
      </c>
      <c r="BN10" s="1584" t="s">
        <v>880</v>
      </c>
    </row>
    <row r="11" spans="1:67" ht="21.75" customHeight="1" x14ac:dyDescent="0.3">
      <c r="A11" s="11" t="s">
        <v>79</v>
      </c>
      <c r="B11" s="12">
        <f>'План и исполнение'!B12</f>
        <v>280337183.28999996</v>
      </c>
      <c r="C11" s="13">
        <f>'План и исполнение'!D12</f>
        <v>82031000</v>
      </c>
      <c r="D11" s="211">
        <f>'План и исполнение'!AI12</f>
        <v>30088522.289999999</v>
      </c>
      <c r="E11" s="12">
        <f>'План и исполнение'!RA12</f>
        <v>168217661</v>
      </c>
      <c r="F11" s="18">
        <f>'План и исполнение'!SG12</f>
        <v>0</v>
      </c>
      <c r="G11" s="18"/>
      <c r="H11" s="14">
        <f t="shared" ref="H11:L11" si="0">B11-N11</f>
        <v>221853354.28999996</v>
      </c>
      <c r="I11" s="15">
        <f t="shared" si="0"/>
        <v>36840500</v>
      </c>
      <c r="J11" s="14">
        <f t="shared" si="0"/>
        <v>18261093.289999999</v>
      </c>
      <c r="K11" s="15">
        <f t="shared" si="0"/>
        <v>166751761</v>
      </c>
      <c r="L11" s="15">
        <f t="shared" si="0"/>
        <v>0</v>
      </c>
      <c r="M11" s="14"/>
      <c r="N11" s="16">
        <f>SUM(O11:S11)</f>
        <v>58483829</v>
      </c>
      <c r="O11" s="15">
        <f>'План и исполнение'!P12+'План и исполнение'!AA12+'План и исполнение'!H12</f>
        <v>45190500</v>
      </c>
      <c r="P11" s="22">
        <f>'План и исполнение'!CA12+'План и исполнение'!CS12+'План и исполнение'!DA12+'План и исполнение'!KA12+'План и исполнение'!MU12+'План и исполнение'!IS12+'План и исполнение'!QU12+'План и исполнение'!MA12+'План и исполнение'!AU12+'План и исполнение'!GQ12+'План и исполнение'!FQ12+'План и исполнение'!NY12+'План и исполнение'!QA12</f>
        <v>11827429</v>
      </c>
      <c r="Q11" s="16">
        <f>'План и исполнение'!RM12</f>
        <v>1465900</v>
      </c>
      <c r="R11" s="12">
        <f>'План и исполнение'!VI12+'План и исполнение'!TE12+'План и исполнение'!SS12+'План и исполнение'!TQ12+'План и исполнение'!UE12</f>
        <v>0</v>
      </c>
      <c r="S11" s="17"/>
      <c r="T11" s="304">
        <f>SUM(U11:Y11)</f>
        <v>58483829</v>
      </c>
      <c r="U11" s="304">
        <f>O11-AA11</f>
        <v>45190500</v>
      </c>
      <c r="V11" s="305">
        <f>P11-AB11</f>
        <v>11827429</v>
      </c>
      <c r="W11" s="306">
        <f>Q11-AC11</f>
        <v>1465900</v>
      </c>
      <c r="X11" s="305">
        <f>R11-AD11</f>
        <v>0</v>
      </c>
      <c r="Y11" s="307"/>
      <c r="Z11" s="306">
        <f>SUM(AA11:AE11)</f>
        <v>0</v>
      </c>
      <c r="AA11" s="304">
        <f>'План и исполнение'!AG12+'План и исполнение'!T12+'План и исполнение'!L12</f>
        <v>0</v>
      </c>
      <c r="AB11" s="305">
        <f>'План и исполнение'!CW12+'План и исполнение'!DE12+'План и исполнение'!CK12+'План и исполнение'!QY12+'План и исполнение'!KU12+'План и исполнение'!JE12+'План и исполнение'!NK12+'План и исполнение'!MK12+'План и исполнение'!BK12+'План и исполнение'!HK12+'План и исполнение'!FY12+'План и исполнение'!PA12+'План и исполнение'!QM12</f>
        <v>0</v>
      </c>
      <c r="AC11" s="306"/>
      <c r="AD11" s="308">
        <f>'План и исполнение'!VQ12+'План и исполнение'!TK12+'План и исполнение'!SY12+'План и исполнение'!TW12+'План и исполнение'!UM12</f>
        <v>0</v>
      </c>
      <c r="AE11" s="307"/>
      <c r="AF11" s="18">
        <f>'План и исполнение'!C12</f>
        <v>158149589.91999999</v>
      </c>
      <c r="AG11" s="13">
        <f>'План и исполнение'!E12</f>
        <v>49858800</v>
      </c>
      <c r="AH11" s="211">
        <f>'План и исполнение'!AJ12</f>
        <v>11280802.449999999</v>
      </c>
      <c r="AI11" s="12">
        <f>'План и исполнение'!RD12</f>
        <v>97009987.469999999</v>
      </c>
      <c r="AJ11" s="17">
        <f>'План и исполнение'!SH12</f>
        <v>0</v>
      </c>
      <c r="AK11" s="18"/>
      <c r="AL11" s="14">
        <f t="shared" ref="AL11:AP11" si="1">AF11-AR11</f>
        <v>123735058.54999998</v>
      </c>
      <c r="AM11" s="15">
        <f t="shared" si="1"/>
        <v>24509500</v>
      </c>
      <c r="AN11" s="14">
        <f t="shared" si="1"/>
        <v>2843064.2999999989</v>
      </c>
      <c r="AO11" s="15">
        <f t="shared" si="1"/>
        <v>96382494.25</v>
      </c>
      <c r="AP11" s="15">
        <f t="shared" si="1"/>
        <v>0</v>
      </c>
      <c r="AQ11" s="14"/>
      <c r="AR11" s="16">
        <f>SUM(AS11:AW11)</f>
        <v>34414531.369999997</v>
      </c>
      <c r="AS11" s="16">
        <f>'План и исполнение'!Q12+'План и исполнение'!AB12+'План и исполнение'!I12</f>
        <v>25349300</v>
      </c>
      <c r="AT11" s="15">
        <f>'План и исполнение'!QV12+'План и исполнение'!DB12+'План и исполнение'!CT12+'План и исполнение'!CE12+'План и исполнение'!KF12+'План и исполнение'!IV12+'План и исполнение'!MY12+'План и исполнение'!ME12+'План и исполнение'!AY12+'План и исполнение'!GV12+'План и исполнение'!FT12+'План и исполнение'!OF12+'План и исполнение'!QD12</f>
        <v>8437738.1500000004</v>
      </c>
      <c r="AU11" s="14">
        <f>'План и исполнение'!RN12</f>
        <v>627493.22</v>
      </c>
      <c r="AV11" s="15">
        <f>'План и исполнение'!VK12+'План и исполнение'!TG12+'План и исполнение'!SU12+'План и исполнение'!TS12+'План и исполнение'!UH12</f>
        <v>0</v>
      </c>
      <c r="AW11" s="18"/>
      <c r="AX11" s="304">
        <f>SUM(AY11:BC11)</f>
        <v>34414531.369999997</v>
      </c>
      <c r="AY11" s="304">
        <f>AS11-BE11</f>
        <v>25349300</v>
      </c>
      <c r="AZ11" s="305">
        <f t="shared" ref="AZ11:AZ28" si="2">AT11-BF11</f>
        <v>8437738.1500000004</v>
      </c>
      <c r="BA11" s="306">
        <f t="shared" ref="BA11:BA28" si="3">AU11-BG11</f>
        <v>627493.22</v>
      </c>
      <c r="BB11" s="305">
        <f t="shared" ref="BB11:BB28" si="4">AV11-BH11</f>
        <v>0</v>
      </c>
      <c r="BC11" s="307"/>
      <c r="BD11" s="306">
        <f>SUM(BE11:BI11)</f>
        <v>0</v>
      </c>
      <c r="BE11" s="305">
        <f>'План и исполнение'!M12+'План и исполнение'!U12+'План и исполнение'!AH12</f>
        <v>0</v>
      </c>
      <c r="BF11" s="311">
        <f>'План и исполнение'!CX12+'План и исполнение'!DF12+'План и исполнение'!CL12+'План и исполнение'!QZ12+'План и исполнение'!KZ12+'План и исполнение'!JH12+'План и исполнение'!NO12+'План и исполнение'!ML12+'План и исполнение'!BO12+'План и исполнение'!HP12+'План и исполнение'!FZ12+'План и исполнение'!PH12+'План и исполнение'!QP12</f>
        <v>0</v>
      </c>
      <c r="BG11" s="304"/>
      <c r="BH11" s="308">
        <f>'План и исполнение'!VS12+'План и исполнение'!TL12+'План и исполнение'!SZ12+'План и исполнение'!TX12+'План и исполнение'!UN12</f>
        <v>0</v>
      </c>
      <c r="BI11" s="307"/>
      <c r="BK11" s="1587">
        <f>SUM(D11:F11)/1000</f>
        <v>198306.18328999999</v>
      </c>
      <c r="BL11" s="1587">
        <f>SUM(J11:L11)/1000</f>
        <v>185012.85428999999</v>
      </c>
      <c r="BM11" s="1587">
        <f>SUM(V11:X11)/1000</f>
        <v>13293.329</v>
      </c>
      <c r="BN11" s="1587">
        <f>SUM(AB11:AD11)/1000</f>
        <v>0</v>
      </c>
      <c r="BO11" s="1621"/>
    </row>
    <row r="12" spans="1:67" ht="21.75" customHeight="1" x14ac:dyDescent="0.3">
      <c r="A12" s="19" t="s">
        <v>80</v>
      </c>
      <c r="B12" s="20">
        <f>'План и исполнение'!B13</f>
        <v>965095485.99000001</v>
      </c>
      <c r="C12" s="21">
        <f>'План и исполнение'!D13</f>
        <v>151339971</v>
      </c>
      <c r="D12" s="212">
        <f>'План и исполнение'!AI13</f>
        <v>168210688.99000001</v>
      </c>
      <c r="E12" s="20">
        <f>'План и исполнение'!RA13</f>
        <v>630544826</v>
      </c>
      <c r="F12" s="26">
        <f>'План и исполнение'!SG13</f>
        <v>15000000</v>
      </c>
      <c r="G12" s="26"/>
      <c r="H12" s="22">
        <f t="shared" ref="H12:H28" si="5">B12-N12</f>
        <v>703416567.57999992</v>
      </c>
      <c r="I12" s="23">
        <f t="shared" ref="I12:I28" si="6">C12-O12</f>
        <v>22006271</v>
      </c>
      <c r="J12" s="22">
        <f t="shared" ref="J12:J28" si="7">D12-P12</f>
        <v>52865270.579999998</v>
      </c>
      <c r="K12" s="23">
        <f t="shared" ref="K12:K28" si="8">E12-Q12</f>
        <v>628545026</v>
      </c>
      <c r="L12" s="23">
        <f t="shared" ref="L12:L28" si="9">F12-R12</f>
        <v>0</v>
      </c>
      <c r="M12" s="22"/>
      <c r="N12" s="24">
        <f t="shared" ref="N12:N28" si="10">SUM(O12:S12)</f>
        <v>261678918.41000003</v>
      </c>
      <c r="O12" s="23">
        <f>'План и исполнение'!P13+'План и исполнение'!AA13+'План и исполнение'!H13</f>
        <v>129333700</v>
      </c>
      <c r="P12" s="22">
        <f>'План и исполнение'!CA13+'План и исполнение'!CS13+'План и исполнение'!DA13+'План и исполнение'!KA13+'План и исполнение'!MU13+'План и исполнение'!IS13+'План и исполнение'!QU13+'План и исполнение'!MA13+'План и исполнение'!AU13+'План и исполнение'!GQ13+'План и исполнение'!FQ13+'План и исполнение'!NY13+'План и исполнение'!QA13</f>
        <v>115345418.41000001</v>
      </c>
      <c r="Q12" s="24">
        <f>'План и исполнение'!RM13</f>
        <v>1999800</v>
      </c>
      <c r="R12" s="20">
        <f>'План и исполнение'!VI13+'План и исполнение'!TE13+'План и исполнение'!SS13+'План и исполнение'!TQ13+'План и исполнение'!UE13</f>
        <v>15000000</v>
      </c>
      <c r="S12" s="25"/>
      <c r="T12" s="309">
        <f t="shared" ref="T12:T28" si="11">SUM(U12:Y12)</f>
        <v>73278666.200000003</v>
      </c>
      <c r="U12" s="309">
        <f t="shared" ref="U12:U28" si="12">O12-AA12</f>
        <v>59982100</v>
      </c>
      <c r="V12" s="310">
        <f t="shared" ref="V12:V28" si="13">P12-AB12</f>
        <v>11296766.200000003</v>
      </c>
      <c r="W12" s="311">
        <f t="shared" ref="W12:W28" si="14">Q12-AC12</f>
        <v>1999800</v>
      </c>
      <c r="X12" s="310">
        <f t="shared" ref="X12:X28" si="15">R12-AD12</f>
        <v>0</v>
      </c>
      <c r="Y12" s="312"/>
      <c r="Z12" s="311">
        <f t="shared" ref="Z12:Z28" si="16">SUM(AA12:AE12)</f>
        <v>188400252.21000001</v>
      </c>
      <c r="AA12" s="309">
        <f>'План и исполнение'!AG13+'План и исполнение'!T13+'План и исполнение'!L13</f>
        <v>69351600</v>
      </c>
      <c r="AB12" s="310">
        <f>'План и исполнение'!CW13+'План и исполнение'!DE13+'План и исполнение'!CK13+'План и исполнение'!QY13+'План и исполнение'!KU13+'План и исполнение'!JE13+'План и исполнение'!NK13+'План и исполнение'!MK13+'План и исполнение'!BK13+'План и исполнение'!HK13+'План и исполнение'!FY13+'План и исполнение'!PA13+'План и исполнение'!QM13</f>
        <v>104048652.21000001</v>
      </c>
      <c r="AC12" s="311"/>
      <c r="AD12" s="313">
        <f>'План и исполнение'!VQ13+'План и исполнение'!TK13+'План и исполнение'!SY13+'План и исполнение'!TW13+'План и исполнение'!UM13</f>
        <v>15000000</v>
      </c>
      <c r="AE12" s="312"/>
      <c r="AF12" s="26">
        <f>'План и исполнение'!C13</f>
        <v>607351044.24000001</v>
      </c>
      <c r="AG12" s="21">
        <f>'План и исполнение'!E13</f>
        <v>105166076</v>
      </c>
      <c r="AH12" s="212">
        <f>'План и исполнение'!AJ13</f>
        <v>70255118.349999994</v>
      </c>
      <c r="AI12" s="20">
        <f>'План и исполнение'!RD13</f>
        <v>416929849.88999999</v>
      </c>
      <c r="AJ12" s="25">
        <f>'План и исполнение'!SH13</f>
        <v>15000000</v>
      </c>
      <c r="AK12" s="26"/>
      <c r="AL12" s="22">
        <f t="shared" ref="AL12:AL28" si="17">AF12-AR12</f>
        <v>437520658.66000003</v>
      </c>
      <c r="AM12" s="23">
        <f t="shared" ref="AM12:AM28" si="18">AG12-AS12</f>
        <v>11873704</v>
      </c>
      <c r="AN12" s="22">
        <f t="shared" ref="AN12:AN28" si="19">AH12-AT12</f>
        <v>9546135.3900000006</v>
      </c>
      <c r="AO12" s="23">
        <f t="shared" ref="AO12:AO28" si="20">AI12-AU12</f>
        <v>416100819.26999998</v>
      </c>
      <c r="AP12" s="23">
        <f t="shared" ref="AP12:AP28" si="21">AJ12-AV12</f>
        <v>0</v>
      </c>
      <c r="AQ12" s="22"/>
      <c r="AR12" s="24">
        <f t="shared" ref="AR12:AR28" si="22">SUM(AS12:AW12)</f>
        <v>169830385.57999998</v>
      </c>
      <c r="AS12" s="24">
        <f>'План и исполнение'!Q13+'План и исполнение'!AB13+'План и исполнение'!I13</f>
        <v>93292372</v>
      </c>
      <c r="AT12" s="23">
        <f>'План и исполнение'!QV13+'План и исполнение'!DB13+'План и исполнение'!CT13+'План и исполнение'!CE13+'План и исполнение'!KF13+'План и исполнение'!IV13+'План и исполнение'!MY13+'План и исполнение'!ME13+'План и исполнение'!AY13+'План и исполнение'!GV13+'План и исполнение'!FT13+'План и исполнение'!OF13+'План и исполнение'!QD13</f>
        <v>60708982.959999993</v>
      </c>
      <c r="AU12" s="22">
        <f>'План и исполнение'!RN13</f>
        <v>829030.62</v>
      </c>
      <c r="AV12" s="23">
        <f>'План и исполнение'!VK13+'План и исполнение'!TG13+'План и исполнение'!SU13+'План и исполнение'!TS13+'План и исполнение'!UH13</f>
        <v>15000000</v>
      </c>
      <c r="AW12" s="26"/>
      <c r="AX12" s="309">
        <f t="shared" ref="AX12:AX28" si="23">SUM(AY12:BC12)</f>
        <v>39725038.519999996</v>
      </c>
      <c r="AY12" s="309">
        <f t="shared" ref="AY12:AY28" si="24">AS12-BE12</f>
        <v>30676793</v>
      </c>
      <c r="AZ12" s="310">
        <f t="shared" si="2"/>
        <v>8219214.8999999985</v>
      </c>
      <c r="BA12" s="311">
        <f t="shared" si="3"/>
        <v>829030.62</v>
      </c>
      <c r="BB12" s="310">
        <f t="shared" si="4"/>
        <v>0</v>
      </c>
      <c r="BC12" s="312"/>
      <c r="BD12" s="311">
        <f t="shared" ref="BD12:BD28" si="25">SUM(BE12:BI12)</f>
        <v>130105347.06</v>
      </c>
      <c r="BE12" s="310">
        <f>'План и исполнение'!M13+'План и исполнение'!U13+'План и исполнение'!AH13</f>
        <v>62615579</v>
      </c>
      <c r="BF12" s="311">
        <f>'План и исполнение'!CX13+'План и исполнение'!DF13+'План и исполнение'!CL13+'План и исполнение'!QZ13+'План и исполнение'!KZ13+'План и исполнение'!JH13+'План и исполнение'!NO13+'План и исполнение'!ML13+'План и исполнение'!BO13+'План и исполнение'!HP13+'План и исполнение'!FZ13+'План и исполнение'!PH13+'План и исполнение'!QP13</f>
        <v>52489768.059999995</v>
      </c>
      <c r="BG12" s="309"/>
      <c r="BH12" s="313">
        <f>'План и исполнение'!VS13+'План и исполнение'!TL13+'План и исполнение'!SZ13+'План и исполнение'!TX13+'План и исполнение'!UN13</f>
        <v>15000000</v>
      </c>
      <c r="BI12" s="312"/>
      <c r="BK12" s="1587">
        <f t="shared" ref="BK12:BK36" si="26">SUM(D12:F12)/1000</f>
        <v>813755.51499000005</v>
      </c>
      <c r="BL12" s="1587">
        <f t="shared" ref="BL12:BL36" si="27">SUM(J12:L12)/1000</f>
        <v>681410.29658000008</v>
      </c>
      <c r="BM12" s="1587">
        <f t="shared" ref="BM12:BM36" si="28">SUM(V12:X12)/1000</f>
        <v>13296.566200000003</v>
      </c>
      <c r="BN12" s="1587">
        <f t="shared" ref="BN12:BN36" si="29">SUM(AB12:AD12)/1000</f>
        <v>119048.65221000001</v>
      </c>
      <c r="BO12" s="1621"/>
    </row>
    <row r="13" spans="1:67" ht="21.75" customHeight="1" x14ac:dyDescent="0.3">
      <c r="A13" s="27" t="s">
        <v>81</v>
      </c>
      <c r="B13" s="20">
        <f>'План и исполнение'!B14</f>
        <v>688572231.28999996</v>
      </c>
      <c r="C13" s="21">
        <f>'План и исполнение'!D14</f>
        <v>114536530</v>
      </c>
      <c r="D13" s="212">
        <f>'План и исполнение'!AI14</f>
        <v>131503456.28999999</v>
      </c>
      <c r="E13" s="20">
        <f>'План и исполнение'!RA14</f>
        <v>367532245</v>
      </c>
      <c r="F13" s="26">
        <f>'План и исполнение'!SG14</f>
        <v>75000000</v>
      </c>
      <c r="G13" s="26"/>
      <c r="H13" s="22">
        <f t="shared" si="5"/>
        <v>445636177.73999995</v>
      </c>
      <c r="I13" s="23">
        <f t="shared" si="6"/>
        <v>46854380</v>
      </c>
      <c r="J13" s="22">
        <f t="shared" si="7"/>
        <v>32488052.739999995</v>
      </c>
      <c r="K13" s="23">
        <f t="shared" si="8"/>
        <v>366293745</v>
      </c>
      <c r="L13" s="23">
        <f t="shared" si="9"/>
        <v>0</v>
      </c>
      <c r="M13" s="22"/>
      <c r="N13" s="24">
        <f t="shared" si="10"/>
        <v>242936053.55000001</v>
      </c>
      <c r="O13" s="23">
        <f>'План и исполнение'!P14+'План и исполнение'!AA14+'План и исполнение'!H14</f>
        <v>67682150</v>
      </c>
      <c r="P13" s="22">
        <f>'План и исполнение'!CA14+'План и исполнение'!CS14+'План и исполнение'!DA14+'План и исполнение'!KA14+'План и исполнение'!MU14+'План и исполнение'!IS14+'План и исполнение'!QU14+'План и исполнение'!MA14+'План и исполнение'!AU14+'План и исполнение'!GQ14+'План и исполнение'!FQ14+'План и исполнение'!NY14+'План и исполнение'!QA14</f>
        <v>99015403.549999997</v>
      </c>
      <c r="Q13" s="24">
        <f>'План и исполнение'!RM14</f>
        <v>1238500</v>
      </c>
      <c r="R13" s="20">
        <f>'План и исполнение'!VI14+'План и исполнение'!TE14+'План и исполнение'!SS14+'План и исполнение'!TQ14+'План и исполнение'!UE14</f>
        <v>75000000</v>
      </c>
      <c r="S13" s="25"/>
      <c r="T13" s="309">
        <f t="shared" si="11"/>
        <v>81157416.280000001</v>
      </c>
      <c r="U13" s="309">
        <f t="shared" si="12"/>
        <v>42569650</v>
      </c>
      <c r="V13" s="310">
        <f t="shared" si="13"/>
        <v>37349266.279999994</v>
      </c>
      <c r="W13" s="311">
        <f t="shared" si="14"/>
        <v>1238500</v>
      </c>
      <c r="X13" s="310">
        <f t="shared" si="15"/>
        <v>0</v>
      </c>
      <c r="Y13" s="312"/>
      <c r="Z13" s="311">
        <f t="shared" si="16"/>
        <v>161778637.27000001</v>
      </c>
      <c r="AA13" s="309">
        <f>'План и исполнение'!AG14+'План и исполнение'!T14+'План и исполнение'!L14</f>
        <v>25112500</v>
      </c>
      <c r="AB13" s="310">
        <f>'План и исполнение'!CW14+'План и исполнение'!DE14+'План и исполнение'!CK14+'План и исполнение'!QY14+'План и исполнение'!KU14+'План и исполнение'!JE14+'План и исполнение'!NK14+'План и исполнение'!MK14+'План и исполнение'!BK14+'План и исполнение'!HK14+'План и исполнение'!FY14+'План и исполнение'!PA14+'План и исполнение'!QM14</f>
        <v>61666137.270000003</v>
      </c>
      <c r="AC13" s="311"/>
      <c r="AD13" s="313">
        <f>'План и исполнение'!VQ14+'План и исполнение'!TK14+'План и исполнение'!SY14+'План и исполнение'!TW14+'План и исполнение'!UM14</f>
        <v>75000000</v>
      </c>
      <c r="AE13" s="312"/>
      <c r="AF13" s="26">
        <f>'План и исполнение'!C14</f>
        <v>334656867.24000001</v>
      </c>
      <c r="AG13" s="21">
        <f>'План и исполнение'!E14</f>
        <v>70644900</v>
      </c>
      <c r="AH13" s="212">
        <f>'План и исполнение'!AJ14</f>
        <v>59130884.769999996</v>
      </c>
      <c r="AI13" s="20">
        <f>'План и исполнение'!RD14</f>
        <v>204881082.47</v>
      </c>
      <c r="AJ13" s="25">
        <f>'План и исполнение'!SH14</f>
        <v>0</v>
      </c>
      <c r="AK13" s="26"/>
      <c r="AL13" s="22">
        <f t="shared" si="17"/>
        <v>233635508.10000002</v>
      </c>
      <c r="AM13" s="23">
        <f t="shared" si="18"/>
        <v>25464000</v>
      </c>
      <c r="AN13" s="22">
        <f t="shared" si="19"/>
        <v>3727065.6700000018</v>
      </c>
      <c r="AO13" s="23">
        <f t="shared" si="20"/>
        <v>204444442.43000001</v>
      </c>
      <c r="AP13" s="23">
        <f t="shared" si="21"/>
        <v>0</v>
      </c>
      <c r="AQ13" s="22"/>
      <c r="AR13" s="24">
        <f t="shared" si="22"/>
        <v>101021359.14</v>
      </c>
      <c r="AS13" s="24">
        <f>'План и исполнение'!Q14+'План и исполнение'!AB14+'План и исполнение'!I14</f>
        <v>45180900</v>
      </c>
      <c r="AT13" s="23">
        <f>'План и исполнение'!QV14+'План и исполнение'!DB14+'План и исполнение'!CT14+'План и исполнение'!CE14+'План и исполнение'!KF14+'План и исполнение'!IV14+'План и исполнение'!MY14+'План и исполнение'!ME14+'План и исполнение'!AY14+'План и исполнение'!GV14+'План и исполнение'!FT14+'План и исполнение'!OF14+'План и исполнение'!QD14</f>
        <v>55403819.099999994</v>
      </c>
      <c r="AU13" s="22">
        <f>'План и исполнение'!RN14</f>
        <v>436640.04</v>
      </c>
      <c r="AV13" s="23">
        <f>'План и исполнение'!VK14+'План и исполнение'!TG14+'План и исполнение'!SU14+'План и исполнение'!TS14+'План и исполнение'!UH14</f>
        <v>0</v>
      </c>
      <c r="AW13" s="26"/>
      <c r="AX13" s="309">
        <f t="shared" si="23"/>
        <v>41729053.100000001</v>
      </c>
      <c r="AY13" s="309">
        <f t="shared" si="24"/>
        <v>24259900</v>
      </c>
      <c r="AZ13" s="310">
        <f t="shared" si="2"/>
        <v>17032513.060000002</v>
      </c>
      <c r="BA13" s="311">
        <f t="shared" si="3"/>
        <v>436640.04</v>
      </c>
      <c r="BB13" s="310">
        <f t="shared" si="4"/>
        <v>0</v>
      </c>
      <c r="BC13" s="312"/>
      <c r="BD13" s="311">
        <f t="shared" si="25"/>
        <v>59292306.039999992</v>
      </c>
      <c r="BE13" s="310">
        <f>'План и исполнение'!M14+'План и исполнение'!U14+'План и исполнение'!AH14</f>
        <v>20921000</v>
      </c>
      <c r="BF13" s="311">
        <f>'План и исполнение'!CX14+'План и исполнение'!DF14+'План и исполнение'!CL14+'План и исполнение'!QZ14+'План и исполнение'!KZ14+'План и исполнение'!JH14+'План и исполнение'!NO14+'План и исполнение'!ML14+'План и исполнение'!BO14+'План и исполнение'!HP14+'План и исполнение'!FZ14+'План и исполнение'!PH14+'План и исполнение'!QP14</f>
        <v>38371306.039999992</v>
      </c>
      <c r="BG13" s="309"/>
      <c r="BH13" s="313">
        <f>'План и исполнение'!VS14+'План и исполнение'!TL14+'План и исполнение'!SZ14+'План и исполнение'!TX14+'План и исполнение'!UN14</f>
        <v>0</v>
      </c>
      <c r="BI13" s="312"/>
      <c r="BK13" s="1587">
        <f t="shared" si="26"/>
        <v>574035.70129</v>
      </c>
      <c r="BL13" s="1587">
        <f t="shared" si="27"/>
        <v>398781.79774000001</v>
      </c>
      <c r="BM13" s="1587">
        <f t="shared" si="28"/>
        <v>38587.766279999996</v>
      </c>
      <c r="BN13" s="1587">
        <f t="shared" si="29"/>
        <v>136666.13727000001</v>
      </c>
      <c r="BO13" s="1621"/>
    </row>
    <row r="14" spans="1:67" ht="21.75" customHeight="1" x14ac:dyDescent="0.3">
      <c r="A14" s="19" t="s">
        <v>82</v>
      </c>
      <c r="B14" s="20">
        <f>'План и исполнение'!B15</f>
        <v>548408481.12</v>
      </c>
      <c r="C14" s="21">
        <f>'План и исполнение'!D15</f>
        <v>79592525</v>
      </c>
      <c r="D14" s="212">
        <f>'План и исполнение'!AI15</f>
        <v>96331326.11999999</v>
      </c>
      <c r="E14" s="20">
        <f>'План и исполнение'!RA15</f>
        <v>372484630</v>
      </c>
      <c r="F14" s="26">
        <f>'План и исполнение'!SG15</f>
        <v>0</v>
      </c>
      <c r="G14" s="26"/>
      <c r="H14" s="22">
        <f t="shared" si="5"/>
        <v>452280964.46000004</v>
      </c>
      <c r="I14" s="23">
        <f t="shared" si="6"/>
        <v>11333525</v>
      </c>
      <c r="J14" s="22">
        <f t="shared" si="7"/>
        <v>70340209.459999993</v>
      </c>
      <c r="K14" s="23">
        <f t="shared" si="8"/>
        <v>370607230</v>
      </c>
      <c r="L14" s="23">
        <f t="shared" si="9"/>
        <v>0</v>
      </c>
      <c r="M14" s="22"/>
      <c r="N14" s="24">
        <f t="shared" si="10"/>
        <v>96127516.659999996</v>
      </c>
      <c r="O14" s="23">
        <f>'План и исполнение'!P15+'План и исполнение'!AA15+'План и исполнение'!H15</f>
        <v>68259000</v>
      </c>
      <c r="P14" s="22">
        <f>'План и исполнение'!CA15+'План и исполнение'!CS15+'План и исполнение'!DA15+'План и исполнение'!KA15+'План и исполнение'!MU15+'План и исполнение'!IS15+'План и исполнение'!QU15+'План и исполнение'!MA15+'План и исполнение'!AU15+'План и исполнение'!GQ15+'План и исполнение'!FQ15+'План и исполнение'!NY15+'План и исполнение'!QA15</f>
        <v>25991116.659999996</v>
      </c>
      <c r="Q14" s="24">
        <f>'План и исполнение'!RM15</f>
        <v>1877400</v>
      </c>
      <c r="R14" s="20">
        <f>'План и исполнение'!VI15+'План и исполнение'!TE15+'План и исполнение'!SS15+'План и исполнение'!TQ15+'План и исполнение'!UE15</f>
        <v>0</v>
      </c>
      <c r="S14" s="25"/>
      <c r="T14" s="309">
        <f t="shared" si="11"/>
        <v>96127516.659999996</v>
      </c>
      <c r="U14" s="309">
        <f t="shared" si="12"/>
        <v>68259000</v>
      </c>
      <c r="V14" s="310">
        <f t="shared" si="13"/>
        <v>25991116.659999996</v>
      </c>
      <c r="W14" s="311">
        <f t="shared" si="14"/>
        <v>1877400</v>
      </c>
      <c r="X14" s="310">
        <f t="shared" si="15"/>
        <v>0</v>
      </c>
      <c r="Y14" s="312"/>
      <c r="Z14" s="311">
        <f t="shared" si="16"/>
        <v>0</v>
      </c>
      <c r="AA14" s="309">
        <f>'План и исполнение'!AG15+'План и исполнение'!T15+'План и исполнение'!L15</f>
        <v>0</v>
      </c>
      <c r="AB14" s="310">
        <f>'План и исполнение'!CW15+'План и исполнение'!DE15+'План и исполнение'!CK15+'План и исполнение'!QY15+'План и исполнение'!KU15+'План и исполнение'!JE15+'План и исполнение'!NK15+'План и исполнение'!MK15+'План и исполнение'!BK15+'План и исполнение'!HK15+'План и исполнение'!FY15+'План и исполнение'!PA15+'План и исполнение'!QM15</f>
        <v>0</v>
      </c>
      <c r="AC14" s="311"/>
      <c r="AD14" s="313">
        <f>'План и исполнение'!VQ15+'План и исполнение'!TK15+'План и исполнение'!SY15+'План и исполнение'!TW15+'План и исполнение'!UM15</f>
        <v>0</v>
      </c>
      <c r="AE14" s="312"/>
      <c r="AF14" s="26">
        <f>'План и исполнение'!C15</f>
        <v>269966615.31</v>
      </c>
      <c r="AG14" s="21">
        <f>'План и исполнение'!E15</f>
        <v>44053395</v>
      </c>
      <c r="AH14" s="212">
        <f>'План и исполнение'!AJ15</f>
        <v>11556087.300000001</v>
      </c>
      <c r="AI14" s="20">
        <f>'План и исполнение'!RD15</f>
        <v>214357133.00999999</v>
      </c>
      <c r="AJ14" s="25">
        <f>'План и исполнение'!SH15</f>
        <v>0</v>
      </c>
      <c r="AK14" s="26"/>
      <c r="AL14" s="22">
        <f t="shared" si="17"/>
        <v>224104630.38999999</v>
      </c>
      <c r="AM14" s="23">
        <f t="shared" si="18"/>
        <v>6025580</v>
      </c>
      <c r="AN14" s="22">
        <f t="shared" si="19"/>
        <v>4660717.38</v>
      </c>
      <c r="AO14" s="23">
        <f t="shared" si="20"/>
        <v>213418333.00999999</v>
      </c>
      <c r="AP14" s="23">
        <f t="shared" si="21"/>
        <v>0</v>
      </c>
      <c r="AQ14" s="22"/>
      <c r="AR14" s="24">
        <f t="shared" si="22"/>
        <v>45861984.920000002</v>
      </c>
      <c r="AS14" s="24">
        <f>'План и исполнение'!Q15+'План и исполнение'!AB15+'План и исполнение'!I15</f>
        <v>38027815</v>
      </c>
      <c r="AT14" s="23">
        <f>'План и исполнение'!QV15+'План и исполнение'!DB15+'План и исполнение'!CT15+'План и исполнение'!CE15+'План и исполнение'!KF15+'План и исполнение'!IV15+'План и исполнение'!MY15+'План и исполнение'!ME15+'План и исполнение'!AY15+'План и исполнение'!GV15+'План и исполнение'!FT15+'План и исполнение'!OF15+'План и исполнение'!QD15</f>
        <v>6895369.9200000009</v>
      </c>
      <c r="AU14" s="22">
        <f>'План и исполнение'!RN15</f>
        <v>938800</v>
      </c>
      <c r="AV14" s="23">
        <f>'План и исполнение'!VK15+'План и исполнение'!TG15+'План и исполнение'!SU15+'План и исполнение'!TS15+'План и исполнение'!UH15</f>
        <v>0</v>
      </c>
      <c r="AW14" s="26"/>
      <c r="AX14" s="309">
        <f t="shared" si="23"/>
        <v>45861984.920000002</v>
      </c>
      <c r="AY14" s="309">
        <f t="shared" si="24"/>
        <v>38027815</v>
      </c>
      <c r="AZ14" s="310">
        <f t="shared" si="2"/>
        <v>6895369.9200000009</v>
      </c>
      <c r="BA14" s="311">
        <f t="shared" si="3"/>
        <v>938800</v>
      </c>
      <c r="BB14" s="310">
        <f t="shared" si="4"/>
        <v>0</v>
      </c>
      <c r="BC14" s="312"/>
      <c r="BD14" s="311">
        <f t="shared" si="25"/>
        <v>0</v>
      </c>
      <c r="BE14" s="310">
        <f>'План и исполнение'!M15+'План и исполнение'!U15+'План и исполнение'!AH15</f>
        <v>0</v>
      </c>
      <c r="BF14" s="311">
        <f>'План и исполнение'!CX15+'План и исполнение'!DF15+'План и исполнение'!CL15+'План и исполнение'!QZ15+'План и исполнение'!KZ15+'План и исполнение'!JH15+'План и исполнение'!NO15+'План и исполнение'!ML15+'План и исполнение'!BO15+'План и исполнение'!HP15+'План и исполнение'!FZ15+'План и исполнение'!PH15+'План и исполнение'!QP15</f>
        <v>0</v>
      </c>
      <c r="BG14" s="309"/>
      <c r="BH14" s="313">
        <f>'План и исполнение'!VS15+'План и исполнение'!TL15+'План и исполнение'!SZ15+'План и исполнение'!TX15+'План и исполнение'!UN15</f>
        <v>0</v>
      </c>
      <c r="BI14" s="312"/>
      <c r="BK14" s="1587">
        <f t="shared" si="26"/>
        <v>468815.95611999999</v>
      </c>
      <c r="BL14" s="1587">
        <f t="shared" si="27"/>
        <v>440947.43945999997</v>
      </c>
      <c r="BM14" s="1587">
        <f t="shared" si="28"/>
        <v>27868.516659999998</v>
      </c>
      <c r="BN14" s="1587">
        <f t="shared" si="29"/>
        <v>0</v>
      </c>
      <c r="BO14" s="1621"/>
    </row>
    <row r="15" spans="1:67" ht="21.75" customHeight="1" x14ac:dyDescent="0.3">
      <c r="A15" s="27" t="s">
        <v>83</v>
      </c>
      <c r="B15" s="20">
        <f>'План и исполнение'!B16</f>
        <v>679586212.46000004</v>
      </c>
      <c r="C15" s="21">
        <f>'План и исполнение'!D16</f>
        <v>118844290</v>
      </c>
      <c r="D15" s="212">
        <f>'План и исполнение'!AI16</f>
        <v>217839242.45999998</v>
      </c>
      <c r="E15" s="20">
        <f>'План и исполнение'!RA16</f>
        <v>342902680</v>
      </c>
      <c r="F15" s="26">
        <f>'План и исполнение'!SG16</f>
        <v>0</v>
      </c>
      <c r="G15" s="26"/>
      <c r="H15" s="22">
        <f t="shared" si="5"/>
        <v>546209130.25</v>
      </c>
      <c r="I15" s="23">
        <f t="shared" si="6"/>
        <v>54293090</v>
      </c>
      <c r="J15" s="22">
        <f t="shared" si="7"/>
        <v>150650860.25</v>
      </c>
      <c r="K15" s="23">
        <f t="shared" si="8"/>
        <v>341265180</v>
      </c>
      <c r="L15" s="23">
        <f t="shared" si="9"/>
        <v>0</v>
      </c>
      <c r="M15" s="22"/>
      <c r="N15" s="24">
        <f t="shared" si="10"/>
        <v>133377082.20999999</v>
      </c>
      <c r="O15" s="23">
        <f>'План и исполнение'!P16+'План и исполнение'!AA16+'План и исполнение'!H16</f>
        <v>64551200</v>
      </c>
      <c r="P15" s="22">
        <f>'План и исполнение'!CA16+'План и исполнение'!CS16+'План и исполнение'!DA16+'План и исполнение'!KA16+'План и исполнение'!MU16+'План и исполнение'!IS16+'План и исполнение'!QU16+'План и исполнение'!MA16+'План и исполнение'!AU16+'План и исполнение'!GQ16+'План и исполнение'!FQ16+'План и исполнение'!NY16+'План и исполнение'!QA16</f>
        <v>67188382.209999993</v>
      </c>
      <c r="Q15" s="24">
        <f>'План и исполнение'!RM16</f>
        <v>1637500</v>
      </c>
      <c r="R15" s="20">
        <f>'План и исполнение'!VI16+'План и исполнение'!TE16+'План и исполнение'!SS16+'План и исполнение'!TQ16+'План и исполнение'!UE16</f>
        <v>0</v>
      </c>
      <c r="S15" s="25"/>
      <c r="T15" s="309">
        <f t="shared" si="11"/>
        <v>133377082.20999999</v>
      </c>
      <c r="U15" s="309">
        <f t="shared" si="12"/>
        <v>64551200</v>
      </c>
      <c r="V15" s="310">
        <f t="shared" si="13"/>
        <v>67188382.209999993</v>
      </c>
      <c r="W15" s="311">
        <f t="shared" si="14"/>
        <v>1637500</v>
      </c>
      <c r="X15" s="310">
        <f t="shared" si="15"/>
        <v>0</v>
      </c>
      <c r="Y15" s="312"/>
      <c r="Z15" s="311">
        <f t="shared" si="16"/>
        <v>0</v>
      </c>
      <c r="AA15" s="309">
        <f>'План и исполнение'!AG16+'План и исполнение'!T16+'План и исполнение'!L16</f>
        <v>0</v>
      </c>
      <c r="AB15" s="310">
        <f>'План и исполнение'!CW16+'План и исполнение'!DE16+'План и исполнение'!CK16+'План и исполнение'!QY16+'План и исполнение'!KU16+'План и исполнение'!JE16+'План и исполнение'!NK16+'План и исполнение'!MK16+'План и исполнение'!BK16+'План и исполнение'!HK16+'План и исполнение'!FY16+'План и исполнение'!PA16+'План и исполнение'!QM16</f>
        <v>0</v>
      </c>
      <c r="AC15" s="311"/>
      <c r="AD15" s="313">
        <f>'План и исполнение'!VQ16+'План и исполнение'!TK16+'План и исполнение'!SY16+'План и исполнение'!TW16+'План и исполнение'!UM16</f>
        <v>0</v>
      </c>
      <c r="AE15" s="312"/>
      <c r="AF15" s="26">
        <f>'План и исполнение'!C16</f>
        <v>309030395.71999997</v>
      </c>
      <c r="AG15" s="21">
        <f>'План и исполнение'!E16</f>
        <v>62409352</v>
      </c>
      <c r="AH15" s="212">
        <f>'План и исполнение'!AJ16</f>
        <v>32725608.839999996</v>
      </c>
      <c r="AI15" s="20">
        <f>'План и исполнение'!RD16</f>
        <v>213895434.88</v>
      </c>
      <c r="AJ15" s="25">
        <f>'План и исполнение'!SH16</f>
        <v>0</v>
      </c>
      <c r="AK15" s="26"/>
      <c r="AL15" s="22">
        <f t="shared" si="17"/>
        <v>247426953.26999998</v>
      </c>
      <c r="AM15" s="23">
        <f t="shared" si="18"/>
        <v>28320002</v>
      </c>
      <c r="AN15" s="22">
        <f t="shared" si="19"/>
        <v>5926623.5299999937</v>
      </c>
      <c r="AO15" s="23">
        <f t="shared" si="20"/>
        <v>213180327.74000001</v>
      </c>
      <c r="AP15" s="23">
        <f t="shared" si="21"/>
        <v>0</v>
      </c>
      <c r="AQ15" s="22"/>
      <c r="AR15" s="24">
        <f t="shared" si="22"/>
        <v>61603442.450000003</v>
      </c>
      <c r="AS15" s="24">
        <f>'План и исполнение'!Q16+'План и исполнение'!AB16+'План и исполнение'!I16</f>
        <v>34089350</v>
      </c>
      <c r="AT15" s="23">
        <f>'План и исполнение'!QV16+'План и исполнение'!DB16+'План и исполнение'!CT16+'План и исполнение'!CE16+'План и исполнение'!KF16+'План и исполнение'!IV16+'План и исполнение'!MY16+'План и исполнение'!ME16+'План и исполнение'!AY16+'План и исполнение'!GV16+'План и исполнение'!FT16+'План и исполнение'!OF16+'План и исполнение'!QD16</f>
        <v>26798985.310000002</v>
      </c>
      <c r="AU15" s="22">
        <f>'План и исполнение'!RN16</f>
        <v>715107.14</v>
      </c>
      <c r="AV15" s="23">
        <f>'План и исполнение'!VK16+'План и исполнение'!TG16+'План и исполнение'!SU16+'План и исполнение'!TS16+'План и исполнение'!UH16</f>
        <v>0</v>
      </c>
      <c r="AW15" s="26"/>
      <c r="AX15" s="309">
        <f t="shared" si="23"/>
        <v>61603442.450000003</v>
      </c>
      <c r="AY15" s="309">
        <f t="shared" si="24"/>
        <v>34089350</v>
      </c>
      <c r="AZ15" s="310">
        <f t="shared" si="2"/>
        <v>26798985.310000002</v>
      </c>
      <c r="BA15" s="311">
        <f t="shared" si="3"/>
        <v>715107.14</v>
      </c>
      <c r="BB15" s="310">
        <f t="shared" si="4"/>
        <v>0</v>
      </c>
      <c r="BC15" s="312"/>
      <c r="BD15" s="311">
        <f t="shared" si="25"/>
        <v>0</v>
      </c>
      <c r="BE15" s="310">
        <f>'План и исполнение'!M16+'План и исполнение'!U16+'План и исполнение'!AH16</f>
        <v>0</v>
      </c>
      <c r="BF15" s="311">
        <f>'План и исполнение'!CX16+'План и исполнение'!DF16+'План и исполнение'!CL16+'План и исполнение'!QZ16+'План и исполнение'!KZ16+'План и исполнение'!JH16+'План и исполнение'!NO16+'План и исполнение'!ML16+'План и исполнение'!BO16+'План и исполнение'!HP16+'План и исполнение'!FZ16+'План и исполнение'!PH16+'План и исполнение'!QP16</f>
        <v>0</v>
      </c>
      <c r="BG15" s="309"/>
      <c r="BH15" s="313">
        <f>'План и исполнение'!VS16+'План и исполнение'!TL16+'План и исполнение'!SZ16+'План и исполнение'!TX16+'План и исполнение'!UN16</f>
        <v>0</v>
      </c>
      <c r="BI15" s="312"/>
      <c r="BK15" s="1587">
        <f t="shared" si="26"/>
        <v>560741.92246000003</v>
      </c>
      <c r="BL15" s="1587">
        <f t="shared" si="27"/>
        <v>491916.04025000002</v>
      </c>
      <c r="BM15" s="1587">
        <f t="shared" si="28"/>
        <v>68825.882209999996</v>
      </c>
      <c r="BN15" s="1587">
        <f t="shared" si="29"/>
        <v>0</v>
      </c>
      <c r="BO15" s="1621"/>
    </row>
    <row r="16" spans="1:67" ht="21.75" customHeight="1" x14ac:dyDescent="0.3">
      <c r="A16" s="19" t="s">
        <v>84</v>
      </c>
      <c r="B16" s="20">
        <f>'План и исполнение'!B17</f>
        <v>517749230.08000004</v>
      </c>
      <c r="C16" s="21">
        <f>'План и исполнение'!D17</f>
        <v>119076134</v>
      </c>
      <c r="D16" s="212">
        <f>'План и исполнение'!AI17</f>
        <v>166495262.08000001</v>
      </c>
      <c r="E16" s="20">
        <f>'План и исполнение'!RA17</f>
        <v>232177834</v>
      </c>
      <c r="F16" s="26">
        <f>'План и исполнение'!SG17</f>
        <v>0</v>
      </c>
      <c r="G16" s="26"/>
      <c r="H16" s="22">
        <f t="shared" si="5"/>
        <v>448979106.19000006</v>
      </c>
      <c r="I16" s="23">
        <f t="shared" si="6"/>
        <v>66365434</v>
      </c>
      <c r="J16" s="22">
        <f t="shared" si="7"/>
        <v>151483338.19</v>
      </c>
      <c r="K16" s="23">
        <f t="shared" si="8"/>
        <v>231130334</v>
      </c>
      <c r="L16" s="23">
        <f t="shared" si="9"/>
        <v>0</v>
      </c>
      <c r="M16" s="22"/>
      <c r="N16" s="24">
        <f t="shared" si="10"/>
        <v>68770123.890000001</v>
      </c>
      <c r="O16" s="23">
        <f>'План и исполнение'!P17+'План и исполнение'!AA17+'План и исполнение'!H17</f>
        <v>52710700</v>
      </c>
      <c r="P16" s="22">
        <f>'План и исполнение'!CA17+'План и исполнение'!CS17+'План и исполнение'!DA17+'План и исполнение'!KA17+'План и исполнение'!MU17+'План и исполнение'!IS17+'План и исполнение'!QU17+'План и исполнение'!MA17+'План и исполнение'!AU17+'План и исполнение'!GQ17+'План и исполнение'!FQ17+'План и исполнение'!NY17+'План и исполнение'!QA17</f>
        <v>15011923.890000001</v>
      </c>
      <c r="Q16" s="24">
        <f>'План и исполнение'!RM17</f>
        <v>1047500</v>
      </c>
      <c r="R16" s="20">
        <f>'План и исполнение'!VI17+'План и исполнение'!TE17+'План и исполнение'!SS17+'План и исполнение'!TQ17+'План и исполнение'!UE17</f>
        <v>0</v>
      </c>
      <c r="S16" s="25"/>
      <c r="T16" s="309">
        <f t="shared" si="11"/>
        <v>68770123.890000001</v>
      </c>
      <c r="U16" s="309">
        <f t="shared" si="12"/>
        <v>52710700</v>
      </c>
      <c r="V16" s="310">
        <f t="shared" si="13"/>
        <v>15011923.890000001</v>
      </c>
      <c r="W16" s="311">
        <f t="shared" si="14"/>
        <v>1047500</v>
      </c>
      <c r="X16" s="310">
        <f t="shared" si="15"/>
        <v>0</v>
      </c>
      <c r="Y16" s="312"/>
      <c r="Z16" s="311">
        <f t="shared" si="16"/>
        <v>0</v>
      </c>
      <c r="AA16" s="309">
        <f>'План и исполнение'!AG17+'План и исполнение'!T17+'План и исполнение'!L17</f>
        <v>0</v>
      </c>
      <c r="AB16" s="310">
        <f>'План и исполнение'!CW17+'План и исполнение'!DE17+'План и исполнение'!CK17+'План и исполнение'!QY17+'План и исполнение'!KU17+'План и исполнение'!JE17+'План и исполнение'!NK17+'План и исполнение'!MK17+'План и исполнение'!BK17+'План и исполнение'!HK17+'План и исполнение'!FY17+'План и исполнение'!PA17+'План и исполнение'!QM17</f>
        <v>0</v>
      </c>
      <c r="AC16" s="311"/>
      <c r="AD16" s="313">
        <f>'План и исполнение'!VQ17+'План и исполнение'!TK17+'План и исполнение'!SY17+'План и исполнение'!TW17+'План и исполнение'!UM17</f>
        <v>0</v>
      </c>
      <c r="AE16" s="312"/>
      <c r="AF16" s="26">
        <f>'План и исполнение'!C17</f>
        <v>256855680.65000001</v>
      </c>
      <c r="AG16" s="21">
        <f>'План и исполнение'!E17</f>
        <v>70108350</v>
      </c>
      <c r="AH16" s="212">
        <f>'План и исполнение'!AJ17</f>
        <v>58500104.120000005</v>
      </c>
      <c r="AI16" s="20">
        <f>'План и исполнение'!RD17</f>
        <v>128247226.53</v>
      </c>
      <c r="AJ16" s="25">
        <f>'План и исполнение'!SH17</f>
        <v>0</v>
      </c>
      <c r="AK16" s="26"/>
      <c r="AL16" s="22">
        <f t="shared" si="17"/>
        <v>213937870.61000001</v>
      </c>
      <c r="AM16" s="23">
        <f t="shared" si="18"/>
        <v>38140500</v>
      </c>
      <c r="AN16" s="22">
        <f t="shared" si="19"/>
        <v>48037144.870000005</v>
      </c>
      <c r="AO16" s="23">
        <f t="shared" si="20"/>
        <v>127760225.73999999</v>
      </c>
      <c r="AP16" s="23">
        <f t="shared" si="21"/>
        <v>0</v>
      </c>
      <c r="AQ16" s="22"/>
      <c r="AR16" s="24">
        <f t="shared" si="22"/>
        <v>42917810.039999999</v>
      </c>
      <c r="AS16" s="24">
        <f>'План и исполнение'!Q17+'План и исполнение'!AB17+'План и исполнение'!I17</f>
        <v>31967850</v>
      </c>
      <c r="AT16" s="23">
        <f>'План и исполнение'!QV17+'План и исполнение'!DB17+'План и исполнение'!CT17+'План и исполнение'!CE17+'План и исполнение'!KF17+'План и исполнение'!IV17+'План и исполнение'!MY17+'План и исполнение'!ME17+'План и исполнение'!AY17+'План и исполнение'!GV17+'План и исполнение'!FT17+'План и исполнение'!OF17+'План и исполнение'!QD17</f>
        <v>10462959.25</v>
      </c>
      <c r="AU16" s="22">
        <f>'План и исполнение'!RN17</f>
        <v>487000.79</v>
      </c>
      <c r="AV16" s="23">
        <f>'План и исполнение'!VK17+'План и исполнение'!TG17+'План и исполнение'!SU17+'План и исполнение'!TS17+'План и исполнение'!UH17</f>
        <v>0</v>
      </c>
      <c r="AW16" s="26"/>
      <c r="AX16" s="309">
        <f t="shared" si="23"/>
        <v>42917810.039999999</v>
      </c>
      <c r="AY16" s="309">
        <f t="shared" si="24"/>
        <v>31967850</v>
      </c>
      <c r="AZ16" s="310">
        <f t="shared" si="2"/>
        <v>10462959.25</v>
      </c>
      <c r="BA16" s="311">
        <f t="shared" si="3"/>
        <v>487000.79</v>
      </c>
      <c r="BB16" s="310">
        <f t="shared" si="4"/>
        <v>0</v>
      </c>
      <c r="BC16" s="312"/>
      <c r="BD16" s="311">
        <f t="shared" si="25"/>
        <v>0</v>
      </c>
      <c r="BE16" s="310">
        <f>'План и исполнение'!M17+'План и исполнение'!U17+'План и исполнение'!AH17</f>
        <v>0</v>
      </c>
      <c r="BF16" s="311">
        <f>'План и исполнение'!CX17+'План и исполнение'!DF17+'План и исполнение'!CL17+'План и исполнение'!QZ17+'План и исполнение'!KZ17+'План и исполнение'!JH17+'План и исполнение'!NO17+'План и исполнение'!ML17+'План и исполнение'!BO17+'План и исполнение'!HP17+'План и исполнение'!FZ17+'План и исполнение'!PH17+'План и исполнение'!QP17</f>
        <v>0</v>
      </c>
      <c r="BG16" s="309"/>
      <c r="BH16" s="313">
        <f>'План и исполнение'!VS17+'План и исполнение'!TL17+'План и исполнение'!SZ17+'План и исполнение'!TX17+'План и исполнение'!UN17</f>
        <v>0</v>
      </c>
      <c r="BI16" s="312"/>
      <c r="BK16" s="1587">
        <f t="shared" si="26"/>
        <v>398673.09608000005</v>
      </c>
      <c r="BL16" s="1587">
        <f t="shared" si="27"/>
        <v>382613.67219000001</v>
      </c>
      <c r="BM16" s="1587">
        <f t="shared" si="28"/>
        <v>16059.42389</v>
      </c>
      <c r="BN16" s="1587">
        <f t="shared" si="29"/>
        <v>0</v>
      </c>
      <c r="BO16" s="1621"/>
    </row>
    <row r="17" spans="1:67" ht="21.75" customHeight="1" x14ac:dyDescent="0.3">
      <c r="A17" s="27" t="s">
        <v>85</v>
      </c>
      <c r="B17" s="20">
        <f>'План и исполнение'!B18</f>
        <v>622839566.96000004</v>
      </c>
      <c r="C17" s="21">
        <f>'План и исполнение'!D18</f>
        <v>105534050</v>
      </c>
      <c r="D17" s="212">
        <f>'План и исполнение'!AI18</f>
        <v>177586823.96000001</v>
      </c>
      <c r="E17" s="20">
        <f>'План и исполнение'!RA18</f>
        <v>339718693</v>
      </c>
      <c r="F17" s="26">
        <f>'План и исполнение'!SG18</f>
        <v>0</v>
      </c>
      <c r="G17" s="26"/>
      <c r="H17" s="22">
        <f t="shared" si="5"/>
        <v>538016041.77999997</v>
      </c>
      <c r="I17" s="23">
        <f t="shared" si="6"/>
        <v>52961800</v>
      </c>
      <c r="J17" s="22">
        <f t="shared" si="7"/>
        <v>146993448.78</v>
      </c>
      <c r="K17" s="23">
        <f t="shared" si="8"/>
        <v>338060793</v>
      </c>
      <c r="L17" s="23">
        <f t="shared" si="9"/>
        <v>0</v>
      </c>
      <c r="M17" s="22"/>
      <c r="N17" s="24">
        <f t="shared" si="10"/>
        <v>84823525.180000007</v>
      </c>
      <c r="O17" s="23">
        <f>'План и исполнение'!P18+'План и исполнение'!AA18+'План и исполнение'!H18</f>
        <v>52572250</v>
      </c>
      <c r="P17" s="22">
        <f>'План и исполнение'!CA18+'План и исполнение'!CS18+'План и исполнение'!DA18+'План и исполнение'!KA18+'План и исполнение'!MU18+'План и исполнение'!IS18+'План и исполнение'!QU18+'План и исполнение'!MA18+'План и исполнение'!AU18+'План и исполнение'!GQ18+'План и исполнение'!FQ18+'План и исполнение'!NY18+'План и исполнение'!QA18</f>
        <v>30593375.18</v>
      </c>
      <c r="Q17" s="24">
        <f>'План и исполнение'!RM18</f>
        <v>1657900</v>
      </c>
      <c r="R17" s="20">
        <f>'План и исполнение'!VI18+'План и исполнение'!TE18+'План и исполнение'!SS18+'План и исполнение'!TQ18+'План и исполнение'!UE18</f>
        <v>0</v>
      </c>
      <c r="S17" s="25"/>
      <c r="T17" s="309">
        <f t="shared" si="11"/>
        <v>84823525.180000007</v>
      </c>
      <c r="U17" s="309">
        <f t="shared" si="12"/>
        <v>52572250</v>
      </c>
      <c r="V17" s="310">
        <f t="shared" si="13"/>
        <v>30593375.18</v>
      </c>
      <c r="W17" s="311">
        <f t="shared" si="14"/>
        <v>1657900</v>
      </c>
      <c r="X17" s="310">
        <f t="shared" si="15"/>
        <v>0</v>
      </c>
      <c r="Y17" s="312"/>
      <c r="Z17" s="311">
        <f t="shared" si="16"/>
        <v>0</v>
      </c>
      <c r="AA17" s="309">
        <f>'План и исполнение'!AG18+'План и исполнение'!T18+'План и исполнение'!L18</f>
        <v>0</v>
      </c>
      <c r="AB17" s="310">
        <f>'План и исполнение'!CW18+'План и исполнение'!DE18+'План и исполнение'!CK18+'План и исполнение'!QY18+'План и исполнение'!KU18+'План и исполнение'!JE18+'План и исполнение'!NK18+'План и исполнение'!MK18+'План и исполнение'!BK18+'План и исполнение'!HK18+'План и исполнение'!FY18+'План и исполнение'!PA18+'План и исполнение'!QM18</f>
        <v>0</v>
      </c>
      <c r="AC17" s="311"/>
      <c r="AD17" s="313">
        <f>'План и исполнение'!VQ18+'План и исполнение'!TK18+'План и исполнение'!SY18+'План и исполнение'!TW18+'План и исполнение'!UM18</f>
        <v>0</v>
      </c>
      <c r="AE17" s="312"/>
      <c r="AF17" s="26">
        <f>'План и исполнение'!C18</f>
        <v>298448156.96000004</v>
      </c>
      <c r="AG17" s="21">
        <f>'План и исполнение'!E18</f>
        <v>54667430</v>
      </c>
      <c r="AH17" s="212">
        <f>'План и исполнение'!AJ18</f>
        <v>38947880.870000005</v>
      </c>
      <c r="AI17" s="20">
        <f>'План и исполнение'!RD18</f>
        <v>204832846.09</v>
      </c>
      <c r="AJ17" s="25">
        <f>'План и исполнение'!SH18</f>
        <v>0</v>
      </c>
      <c r="AK17" s="26"/>
      <c r="AL17" s="22">
        <f t="shared" si="17"/>
        <v>258688538.18000004</v>
      </c>
      <c r="AM17" s="23">
        <f t="shared" si="18"/>
        <v>29889400</v>
      </c>
      <c r="AN17" s="22">
        <f t="shared" si="19"/>
        <v>24790352.280000005</v>
      </c>
      <c r="AO17" s="23">
        <f t="shared" si="20"/>
        <v>204008785.90000001</v>
      </c>
      <c r="AP17" s="23">
        <f t="shared" si="21"/>
        <v>0</v>
      </c>
      <c r="AQ17" s="22"/>
      <c r="AR17" s="24">
        <f t="shared" si="22"/>
        <v>39759618.780000001</v>
      </c>
      <c r="AS17" s="24">
        <f>'План и исполнение'!Q18+'План и исполнение'!AB18+'План и исполнение'!I18</f>
        <v>24778030</v>
      </c>
      <c r="AT17" s="23">
        <f>'План и исполнение'!QV18+'План и исполнение'!DB18+'План и исполнение'!CT18+'План и исполнение'!CE18+'План и исполнение'!KF18+'План и исполнение'!IV18+'План и исполнение'!MY18+'План и исполнение'!ME18+'План и исполнение'!AY18+'План и исполнение'!GV18+'План и исполнение'!FT18+'План и исполнение'!OF18+'План и исполнение'!QD18</f>
        <v>14157528.59</v>
      </c>
      <c r="AU17" s="22">
        <f>'План и исполнение'!RN18</f>
        <v>824060.19</v>
      </c>
      <c r="AV17" s="23">
        <f>'План и исполнение'!VK18+'План и исполнение'!TG18+'План и исполнение'!SU18+'План и исполнение'!TS18+'План и исполнение'!UH18</f>
        <v>0</v>
      </c>
      <c r="AW17" s="26"/>
      <c r="AX17" s="309">
        <f t="shared" si="23"/>
        <v>39759618.780000001</v>
      </c>
      <c r="AY17" s="309">
        <f t="shared" si="24"/>
        <v>24778030</v>
      </c>
      <c r="AZ17" s="310">
        <f t="shared" si="2"/>
        <v>14157528.59</v>
      </c>
      <c r="BA17" s="311">
        <f t="shared" si="3"/>
        <v>824060.19</v>
      </c>
      <c r="BB17" s="310">
        <f t="shared" si="4"/>
        <v>0</v>
      </c>
      <c r="BC17" s="312"/>
      <c r="BD17" s="311">
        <f t="shared" si="25"/>
        <v>0</v>
      </c>
      <c r="BE17" s="310">
        <f>'План и исполнение'!M18+'План и исполнение'!U18+'План и исполнение'!AH18</f>
        <v>0</v>
      </c>
      <c r="BF17" s="311">
        <f>'План и исполнение'!CX18+'План и исполнение'!DF18+'План и исполнение'!CL18+'План и исполнение'!QZ18+'План и исполнение'!KZ18+'План и исполнение'!JH18+'План и исполнение'!NO18+'План и исполнение'!ML18+'План и исполнение'!BO18+'План и исполнение'!HP18+'План и исполнение'!FZ18+'План и исполнение'!PH18+'План и исполнение'!QP18</f>
        <v>0</v>
      </c>
      <c r="BG17" s="309"/>
      <c r="BH17" s="313">
        <f>'План и исполнение'!VS18+'План и исполнение'!TL18+'План и исполнение'!SZ18+'План и исполнение'!TX18+'План и исполнение'!UN18</f>
        <v>0</v>
      </c>
      <c r="BI17" s="312"/>
      <c r="BK17" s="1587">
        <f t="shared" si="26"/>
        <v>517305.51696000004</v>
      </c>
      <c r="BL17" s="1587">
        <f t="shared" si="27"/>
        <v>485054.24177999998</v>
      </c>
      <c r="BM17" s="1587">
        <f t="shared" si="28"/>
        <v>32251.275180000001</v>
      </c>
      <c r="BN17" s="1587">
        <f t="shared" si="29"/>
        <v>0</v>
      </c>
      <c r="BO17" s="1621"/>
    </row>
    <row r="18" spans="1:67" ht="21.75" customHeight="1" x14ac:dyDescent="0.3">
      <c r="A18" s="19" t="s">
        <v>86</v>
      </c>
      <c r="B18" s="20">
        <f>'План и исполнение'!B19</f>
        <v>567540749.16000009</v>
      </c>
      <c r="C18" s="21">
        <f>'План и исполнение'!D19</f>
        <v>139663700</v>
      </c>
      <c r="D18" s="212">
        <f>'План и исполнение'!AI19</f>
        <v>138988526.16000003</v>
      </c>
      <c r="E18" s="20">
        <f>'План и исполнение'!RA19</f>
        <v>288888523</v>
      </c>
      <c r="F18" s="26">
        <f>'План и исполнение'!SG19</f>
        <v>0</v>
      </c>
      <c r="G18" s="26"/>
      <c r="H18" s="22">
        <f t="shared" si="5"/>
        <v>411414244.48000008</v>
      </c>
      <c r="I18" s="23">
        <f t="shared" si="6"/>
        <v>71243800</v>
      </c>
      <c r="J18" s="22">
        <f t="shared" si="7"/>
        <v>53018721.480000034</v>
      </c>
      <c r="K18" s="23">
        <f t="shared" si="8"/>
        <v>287151723</v>
      </c>
      <c r="L18" s="23">
        <f t="shared" si="9"/>
        <v>0</v>
      </c>
      <c r="M18" s="22"/>
      <c r="N18" s="24">
        <f t="shared" si="10"/>
        <v>156126504.68000001</v>
      </c>
      <c r="O18" s="23">
        <f>'План и исполнение'!P19+'План и исполнение'!AA19+'План и исполнение'!H19</f>
        <v>68419900</v>
      </c>
      <c r="P18" s="22">
        <f>'План и исполнение'!CA19+'План и исполнение'!CS19+'План и исполнение'!DA19+'План и исполнение'!KA19+'План и исполнение'!MU19+'План и исполнение'!IS19+'План и исполнение'!QU19+'План и исполнение'!MA19+'План и исполнение'!AU19+'План и исполнение'!GQ19+'План и исполнение'!FQ19+'План и исполнение'!NY19+'План и исполнение'!QA19</f>
        <v>85969804.679999992</v>
      </c>
      <c r="Q18" s="24">
        <f>'План и исполнение'!RM19</f>
        <v>1736800</v>
      </c>
      <c r="R18" s="20">
        <f>'План и исполнение'!VI19+'План и исполнение'!TE19+'План и исполнение'!SS19+'План и исполнение'!TQ19+'План и исполнение'!UE19</f>
        <v>0</v>
      </c>
      <c r="S18" s="25"/>
      <c r="T18" s="309">
        <f t="shared" si="11"/>
        <v>113396280.56999999</v>
      </c>
      <c r="U18" s="309">
        <f t="shared" si="12"/>
        <v>55136800</v>
      </c>
      <c r="V18" s="310">
        <f t="shared" si="13"/>
        <v>56522680.569999993</v>
      </c>
      <c r="W18" s="311">
        <f t="shared" si="14"/>
        <v>1736800</v>
      </c>
      <c r="X18" s="310">
        <f t="shared" si="15"/>
        <v>0</v>
      </c>
      <c r="Y18" s="312"/>
      <c r="Z18" s="311">
        <f t="shared" si="16"/>
        <v>42730224.109999999</v>
      </c>
      <c r="AA18" s="309">
        <f>'План и исполнение'!AG19+'План и исполнение'!T19+'План и исполнение'!L19</f>
        <v>13283100</v>
      </c>
      <c r="AB18" s="310">
        <f>'План и исполнение'!CW19+'План и исполнение'!DE19+'План и исполнение'!CK19+'План и исполнение'!QY19+'План и исполнение'!KU19+'План и исполнение'!JE19+'План и исполнение'!NK19+'План и исполнение'!MK19+'План и исполнение'!BK19+'План и исполнение'!HK19+'План и исполнение'!FY19+'План и исполнение'!PA19+'План и исполнение'!QM19</f>
        <v>29447124.110000003</v>
      </c>
      <c r="AC18" s="311"/>
      <c r="AD18" s="313">
        <f>'План и исполнение'!VQ19+'План и исполнение'!TK19+'План и исполнение'!SY19+'План и исполнение'!TW19+'План и исполнение'!UM19</f>
        <v>0</v>
      </c>
      <c r="AE18" s="312"/>
      <c r="AF18" s="26">
        <f>'План и исполнение'!C19</f>
        <v>304107188.26999998</v>
      </c>
      <c r="AG18" s="21">
        <f>'План и исполнение'!E19</f>
        <v>70187070</v>
      </c>
      <c r="AH18" s="212">
        <f>'План и исполнение'!AJ19</f>
        <v>28519284.020000003</v>
      </c>
      <c r="AI18" s="20">
        <f>'План и исполнение'!RD19</f>
        <v>205400834.25</v>
      </c>
      <c r="AJ18" s="25">
        <f>'План и исполнение'!SH19</f>
        <v>0</v>
      </c>
      <c r="AK18" s="26"/>
      <c r="AL18" s="22">
        <f t="shared" si="17"/>
        <v>250425205.78999999</v>
      </c>
      <c r="AM18" s="23">
        <f t="shared" si="18"/>
        <v>35027600</v>
      </c>
      <c r="AN18" s="22">
        <f t="shared" si="19"/>
        <v>10796013.610000003</v>
      </c>
      <c r="AO18" s="23">
        <f t="shared" si="20"/>
        <v>204601592.18000001</v>
      </c>
      <c r="AP18" s="23">
        <f t="shared" si="21"/>
        <v>0</v>
      </c>
      <c r="AQ18" s="22"/>
      <c r="AR18" s="24">
        <f t="shared" si="22"/>
        <v>53681982.479999997</v>
      </c>
      <c r="AS18" s="24">
        <f>'План и исполнение'!Q19+'План и исполнение'!AB19+'План и исполнение'!I19</f>
        <v>35159470</v>
      </c>
      <c r="AT18" s="23">
        <f>'План и исполнение'!QV19+'План и исполнение'!DB19+'План и исполнение'!CT19+'План и исполнение'!CE19+'План и исполнение'!KF19+'План и исполнение'!IV19+'План и исполнение'!MY19+'План и исполнение'!ME19+'План и исполнение'!AY19+'План и исполнение'!GV19+'План и исполнение'!FT19+'План и исполнение'!OF19+'План и исполнение'!QD19</f>
        <v>17723270.41</v>
      </c>
      <c r="AU18" s="22">
        <f>'План и исполнение'!RN19</f>
        <v>799242.07</v>
      </c>
      <c r="AV18" s="23">
        <f>'План и исполнение'!VK19+'План и исполнение'!TG19+'План и исполнение'!SU19+'План и исполнение'!TS19+'План и исполнение'!UH19</f>
        <v>0</v>
      </c>
      <c r="AW18" s="26"/>
      <c r="AX18" s="309">
        <f t="shared" si="23"/>
        <v>44373529.030000001</v>
      </c>
      <c r="AY18" s="309">
        <f t="shared" si="24"/>
        <v>27767920</v>
      </c>
      <c r="AZ18" s="310">
        <f t="shared" si="2"/>
        <v>15806366.960000001</v>
      </c>
      <c r="BA18" s="311">
        <f t="shared" si="3"/>
        <v>799242.07</v>
      </c>
      <c r="BB18" s="310">
        <f t="shared" si="4"/>
        <v>0</v>
      </c>
      <c r="BC18" s="312"/>
      <c r="BD18" s="311">
        <f t="shared" si="25"/>
        <v>9308453.4499999993</v>
      </c>
      <c r="BE18" s="310">
        <f>'План и исполнение'!M19+'План и исполнение'!U19+'План и исполнение'!AH19</f>
        <v>7391550</v>
      </c>
      <c r="BF18" s="311">
        <f>'План и исполнение'!CX19+'План и исполнение'!DF19+'План и исполнение'!CL19+'План и исполнение'!QZ19+'План и исполнение'!KZ19+'План и исполнение'!JH19+'План и исполнение'!NO19+'План и исполнение'!ML19+'План и исполнение'!BO19+'План и исполнение'!HP19+'План и исполнение'!FZ19+'План и исполнение'!PH19+'План и исполнение'!QP19</f>
        <v>1916903.4500000002</v>
      </c>
      <c r="BG18" s="309"/>
      <c r="BH18" s="313">
        <f>'План и исполнение'!VS19+'План и исполнение'!TL19+'План и исполнение'!SZ19+'План и исполнение'!TX19+'План и исполнение'!UN19</f>
        <v>0</v>
      </c>
      <c r="BI18" s="312"/>
      <c r="BK18" s="1587">
        <f t="shared" si="26"/>
        <v>427877.04916000005</v>
      </c>
      <c r="BL18" s="1587">
        <f t="shared" si="27"/>
        <v>340170.44448000001</v>
      </c>
      <c r="BM18" s="1587">
        <f t="shared" si="28"/>
        <v>58259.480569999992</v>
      </c>
      <c r="BN18" s="1587">
        <f t="shared" si="29"/>
        <v>29447.124110000004</v>
      </c>
      <c r="BO18" s="1621"/>
    </row>
    <row r="19" spans="1:67" ht="21.75" customHeight="1" x14ac:dyDescent="0.3">
      <c r="A19" s="27" t="s">
        <v>87</v>
      </c>
      <c r="B19" s="20">
        <f>'План и исполнение'!B20</f>
        <v>639631391.96000004</v>
      </c>
      <c r="C19" s="21">
        <f>'План и исполнение'!D20</f>
        <v>188596100</v>
      </c>
      <c r="D19" s="212">
        <f>'План и исполнение'!AI20</f>
        <v>235490592.96000001</v>
      </c>
      <c r="E19" s="20">
        <f>'План и исполнение'!RA20</f>
        <v>215544699</v>
      </c>
      <c r="F19" s="26">
        <f>'План и исполнение'!SG20</f>
        <v>0</v>
      </c>
      <c r="G19" s="26"/>
      <c r="H19" s="22">
        <f t="shared" si="5"/>
        <v>565321664.22000003</v>
      </c>
      <c r="I19" s="23">
        <f t="shared" si="6"/>
        <v>139287100</v>
      </c>
      <c r="J19" s="22">
        <f t="shared" si="7"/>
        <v>211707865.22</v>
      </c>
      <c r="K19" s="23">
        <f t="shared" si="8"/>
        <v>214326699</v>
      </c>
      <c r="L19" s="23">
        <f t="shared" si="9"/>
        <v>0</v>
      </c>
      <c r="M19" s="22"/>
      <c r="N19" s="24">
        <f t="shared" si="10"/>
        <v>74309727.74000001</v>
      </c>
      <c r="O19" s="23">
        <f>'План и исполнение'!P20+'План и исполнение'!AA20+'План и исполнение'!H20</f>
        <v>49309000</v>
      </c>
      <c r="P19" s="22">
        <f>'План и исполнение'!CA20+'План и исполнение'!CS20+'План и исполнение'!DA20+'План и исполнение'!KA20+'План и исполнение'!MU20+'План и исполнение'!IS20+'План и исполнение'!QU20+'План и исполнение'!MA20+'План и исполнение'!AU20+'План и исполнение'!GQ20+'План и исполнение'!FQ20+'План и исполнение'!NY20+'План и исполнение'!QA20</f>
        <v>23782727.740000002</v>
      </c>
      <c r="Q19" s="24">
        <f>'План и исполнение'!RM20</f>
        <v>1218000</v>
      </c>
      <c r="R19" s="20">
        <f>'План и исполнение'!VI20+'План и исполнение'!TE20+'План и исполнение'!SS20+'План и исполнение'!TQ20+'План и исполнение'!UE20</f>
        <v>0</v>
      </c>
      <c r="S19" s="25"/>
      <c r="T19" s="309">
        <f t="shared" si="11"/>
        <v>74309727.74000001</v>
      </c>
      <c r="U19" s="309">
        <f t="shared" si="12"/>
        <v>49309000</v>
      </c>
      <c r="V19" s="310">
        <f t="shared" si="13"/>
        <v>23782727.740000002</v>
      </c>
      <c r="W19" s="311">
        <f t="shared" si="14"/>
        <v>1218000</v>
      </c>
      <c r="X19" s="310">
        <f t="shared" si="15"/>
        <v>0</v>
      </c>
      <c r="Y19" s="312"/>
      <c r="Z19" s="311">
        <f t="shared" si="16"/>
        <v>0</v>
      </c>
      <c r="AA19" s="309">
        <f>'План и исполнение'!AG20+'План и исполнение'!T20+'План и исполнение'!L20</f>
        <v>0</v>
      </c>
      <c r="AB19" s="310">
        <f>'План и исполнение'!CW20+'План и исполнение'!DE20+'План и исполнение'!CK20+'План и исполнение'!QY20+'План и исполнение'!KU20+'План и исполнение'!JE20+'План и исполнение'!NK20+'План и исполнение'!MK20+'План и исполнение'!BK20+'План и исполнение'!HK20+'План и исполнение'!FY20+'План и исполнение'!PA20+'План и исполнение'!QM20</f>
        <v>0</v>
      </c>
      <c r="AC19" s="311"/>
      <c r="AD19" s="313">
        <f>'План и исполнение'!VQ20+'План и исполнение'!TK20+'План и исполнение'!SY20+'План и исполнение'!TW20+'План и исполнение'!UM20</f>
        <v>0</v>
      </c>
      <c r="AE19" s="312"/>
      <c r="AF19" s="26">
        <f>'План и исполнение'!C20</f>
        <v>245650430.39999998</v>
      </c>
      <c r="AG19" s="21">
        <f>'План и исполнение'!E20</f>
        <v>81511433.75999999</v>
      </c>
      <c r="AH19" s="212">
        <f>'План и исполнение'!AJ20</f>
        <v>38108370.980000004</v>
      </c>
      <c r="AI19" s="20">
        <f>'План и исполнение'!RD20</f>
        <v>126030625.66</v>
      </c>
      <c r="AJ19" s="25">
        <f>'План и исполнение'!SH20</f>
        <v>0</v>
      </c>
      <c r="AK19" s="26"/>
      <c r="AL19" s="22">
        <f t="shared" si="17"/>
        <v>205576622.58999997</v>
      </c>
      <c r="AM19" s="23">
        <f t="shared" si="18"/>
        <v>52295155.999999985</v>
      </c>
      <c r="AN19" s="22">
        <f t="shared" si="19"/>
        <v>27752395.130000003</v>
      </c>
      <c r="AO19" s="23">
        <f t="shared" si="20"/>
        <v>125529071.45999999</v>
      </c>
      <c r="AP19" s="23">
        <f t="shared" si="21"/>
        <v>0</v>
      </c>
      <c r="AQ19" s="22"/>
      <c r="AR19" s="24">
        <f t="shared" si="22"/>
        <v>40073807.810000002</v>
      </c>
      <c r="AS19" s="24">
        <f>'План и исполнение'!Q20+'План и исполнение'!AB20+'План и исполнение'!I20</f>
        <v>29216277.760000002</v>
      </c>
      <c r="AT19" s="23">
        <f>'План и исполнение'!QV20+'План и исполнение'!DB20+'План и исполнение'!CT20+'План и исполнение'!CE20+'План и исполнение'!KF20+'План и исполнение'!IV20+'План и исполнение'!MY20+'План и исполнение'!ME20+'План и исполнение'!AY20+'План и исполнение'!GV20+'План и исполнение'!FT20+'План и исполнение'!OF20+'План и исполнение'!QD20</f>
        <v>10355975.85</v>
      </c>
      <c r="AU19" s="22">
        <f>'План и исполнение'!RN20</f>
        <v>501554.2</v>
      </c>
      <c r="AV19" s="23">
        <f>'План и исполнение'!VK20+'План и исполнение'!TG20+'План и исполнение'!SU20+'План и исполнение'!TS20+'План и исполнение'!UH20</f>
        <v>0</v>
      </c>
      <c r="AW19" s="26"/>
      <c r="AX19" s="309">
        <f t="shared" si="23"/>
        <v>40073807.810000002</v>
      </c>
      <c r="AY19" s="309">
        <f t="shared" si="24"/>
        <v>29216277.760000002</v>
      </c>
      <c r="AZ19" s="310">
        <f t="shared" si="2"/>
        <v>10355975.85</v>
      </c>
      <c r="BA19" s="311">
        <f t="shared" si="3"/>
        <v>501554.2</v>
      </c>
      <c r="BB19" s="310">
        <f t="shared" si="4"/>
        <v>0</v>
      </c>
      <c r="BC19" s="312"/>
      <c r="BD19" s="311">
        <f t="shared" si="25"/>
        <v>0</v>
      </c>
      <c r="BE19" s="310">
        <f>'План и исполнение'!M20+'План и исполнение'!U20+'План и исполнение'!AH20</f>
        <v>0</v>
      </c>
      <c r="BF19" s="311">
        <f>'План и исполнение'!CX20+'План и исполнение'!DF20+'План и исполнение'!CL20+'План и исполнение'!QZ20+'План и исполнение'!KZ20+'План и исполнение'!JH20+'План и исполнение'!NO20+'План и исполнение'!ML20+'План и исполнение'!BO20+'План и исполнение'!HP20+'План и исполнение'!FZ20+'План и исполнение'!PH20+'План и исполнение'!QP20</f>
        <v>0</v>
      </c>
      <c r="BG19" s="309"/>
      <c r="BH19" s="313">
        <f>'План и исполнение'!VS20+'План и исполнение'!TL20+'План и исполнение'!SZ20+'План и исполнение'!TX20+'План и исполнение'!UN20</f>
        <v>0</v>
      </c>
      <c r="BI19" s="312"/>
      <c r="BK19" s="1587">
        <f t="shared" si="26"/>
        <v>451035.29196000006</v>
      </c>
      <c r="BL19" s="1587">
        <f t="shared" si="27"/>
        <v>426034.56422</v>
      </c>
      <c r="BM19" s="1587">
        <f t="shared" si="28"/>
        <v>25000.727740000002</v>
      </c>
      <c r="BN19" s="1587">
        <f t="shared" si="29"/>
        <v>0</v>
      </c>
      <c r="BO19" s="1621"/>
    </row>
    <row r="20" spans="1:67" ht="21.75" customHeight="1" x14ac:dyDescent="0.3">
      <c r="A20" s="19" t="s">
        <v>88</v>
      </c>
      <c r="B20" s="20">
        <f>'План и исполнение'!B21</f>
        <v>274377297.15999997</v>
      </c>
      <c r="C20" s="21">
        <f>'План и исполнение'!D21</f>
        <v>45718500</v>
      </c>
      <c r="D20" s="212">
        <f>'План и исполнение'!AI21</f>
        <v>48661987.159999996</v>
      </c>
      <c r="E20" s="20">
        <f>'План и исполнение'!RA21</f>
        <v>179996810</v>
      </c>
      <c r="F20" s="26">
        <f>'План и исполнение'!SG21</f>
        <v>0</v>
      </c>
      <c r="G20" s="26"/>
      <c r="H20" s="22">
        <f t="shared" si="5"/>
        <v>234853858.67999995</v>
      </c>
      <c r="I20" s="23">
        <f t="shared" si="6"/>
        <v>24056100</v>
      </c>
      <c r="J20" s="22">
        <f t="shared" si="7"/>
        <v>31474648.679999996</v>
      </c>
      <c r="K20" s="23">
        <f t="shared" si="8"/>
        <v>179323110</v>
      </c>
      <c r="L20" s="23">
        <f t="shared" si="9"/>
        <v>0</v>
      </c>
      <c r="M20" s="22"/>
      <c r="N20" s="24">
        <f t="shared" si="10"/>
        <v>39523438.480000004</v>
      </c>
      <c r="O20" s="23">
        <f>'План и исполнение'!P21+'План и исполнение'!AA21+'План и исполнение'!H21</f>
        <v>21662400</v>
      </c>
      <c r="P20" s="22">
        <f>'План и исполнение'!CA21+'План и исполнение'!CS21+'План и исполнение'!DA21+'План и исполнение'!KA21+'План и исполнение'!MU21+'План и исполнение'!IS21+'План и исполнение'!QU21+'План и исполнение'!MA21+'План и исполнение'!AU21+'План и исполнение'!GQ21+'План и исполнение'!FQ21+'План и исполнение'!NY21+'План и исполнение'!QA21</f>
        <v>17187338.48</v>
      </c>
      <c r="Q20" s="24">
        <f>'План и исполнение'!RM21</f>
        <v>673700</v>
      </c>
      <c r="R20" s="20">
        <f>'План и исполнение'!VI21+'План и исполнение'!TE21+'План и исполнение'!SS21+'План и исполнение'!TQ21+'План и исполнение'!UE21</f>
        <v>0</v>
      </c>
      <c r="S20" s="25"/>
      <c r="T20" s="309">
        <f t="shared" si="11"/>
        <v>39523438.480000004</v>
      </c>
      <c r="U20" s="309">
        <f t="shared" si="12"/>
        <v>21662400</v>
      </c>
      <c r="V20" s="310">
        <f t="shared" si="13"/>
        <v>17187338.48</v>
      </c>
      <c r="W20" s="311">
        <f t="shared" si="14"/>
        <v>673700</v>
      </c>
      <c r="X20" s="310">
        <f t="shared" si="15"/>
        <v>0</v>
      </c>
      <c r="Y20" s="312"/>
      <c r="Z20" s="311">
        <f t="shared" si="16"/>
        <v>0</v>
      </c>
      <c r="AA20" s="309">
        <f>'План и исполнение'!AG21+'План и исполнение'!T21+'План и исполнение'!L21</f>
        <v>0</v>
      </c>
      <c r="AB20" s="310">
        <f>'План и исполнение'!CW21+'План и исполнение'!DE21+'План и исполнение'!CK21+'План и исполнение'!QY21+'План и исполнение'!KU21+'План и исполнение'!JE21+'План и исполнение'!NK21+'План и исполнение'!MK21+'План и исполнение'!BK21+'План и исполнение'!HK21+'План и исполнение'!FY21+'План и исполнение'!PA21+'План и исполнение'!QM21</f>
        <v>0</v>
      </c>
      <c r="AC20" s="311"/>
      <c r="AD20" s="313">
        <f>'План и исполнение'!VQ21+'План и исполнение'!TK21+'План и исполнение'!SY21+'План и исполнение'!TW21+'План и исполнение'!UM21</f>
        <v>0</v>
      </c>
      <c r="AE20" s="312"/>
      <c r="AF20" s="26">
        <f>'План и исполнение'!C21</f>
        <v>151952733.08000001</v>
      </c>
      <c r="AG20" s="21">
        <f>'План и исполнение'!E21</f>
        <v>26538125</v>
      </c>
      <c r="AH20" s="212">
        <f>'План и исполнение'!AJ21</f>
        <v>14477086.350000001</v>
      </c>
      <c r="AI20" s="20">
        <f>'План и исполнение'!RD21</f>
        <v>110937521.73</v>
      </c>
      <c r="AJ20" s="25">
        <f>'План и исполнение'!SH21</f>
        <v>0</v>
      </c>
      <c r="AK20" s="26"/>
      <c r="AL20" s="22">
        <f t="shared" si="17"/>
        <v>130605072.41000001</v>
      </c>
      <c r="AM20" s="23">
        <f t="shared" si="18"/>
        <v>14906925</v>
      </c>
      <c r="AN20" s="22">
        <f t="shared" si="19"/>
        <v>5066509.2700000014</v>
      </c>
      <c r="AO20" s="23">
        <f t="shared" si="20"/>
        <v>110631638.14</v>
      </c>
      <c r="AP20" s="23">
        <f t="shared" si="21"/>
        <v>0</v>
      </c>
      <c r="AQ20" s="22"/>
      <c r="AR20" s="24">
        <f t="shared" si="22"/>
        <v>21347660.669999998</v>
      </c>
      <c r="AS20" s="24">
        <f>'План и исполнение'!Q21+'План и исполнение'!AB21+'План и исполнение'!I21</f>
        <v>11631200</v>
      </c>
      <c r="AT20" s="23">
        <f>'План и исполнение'!QV21+'План и исполнение'!DB21+'План и исполнение'!CT21+'План и исполнение'!CE21+'План и исполнение'!KF21+'План и исполнение'!IV21+'План и исполнение'!MY21+'План и исполнение'!ME21+'План и исполнение'!AY21+'План и исполнение'!GV21+'План и исполнение'!FT21+'План и исполнение'!OF21+'План и исполнение'!QD21</f>
        <v>9410577.0800000001</v>
      </c>
      <c r="AU20" s="22">
        <f>'План и исполнение'!RN21</f>
        <v>305883.59000000003</v>
      </c>
      <c r="AV20" s="23">
        <f>'План и исполнение'!VK21+'План и исполнение'!TG21+'План и исполнение'!SU21+'План и исполнение'!TS21+'План и исполнение'!UH21</f>
        <v>0</v>
      </c>
      <c r="AW20" s="26"/>
      <c r="AX20" s="309">
        <f t="shared" si="23"/>
        <v>21347660.669999998</v>
      </c>
      <c r="AY20" s="309">
        <f t="shared" si="24"/>
        <v>11631200</v>
      </c>
      <c r="AZ20" s="310">
        <f t="shared" si="2"/>
        <v>9410577.0800000001</v>
      </c>
      <c r="BA20" s="311">
        <f t="shared" si="3"/>
        <v>305883.59000000003</v>
      </c>
      <c r="BB20" s="310">
        <f t="shared" si="4"/>
        <v>0</v>
      </c>
      <c r="BC20" s="312"/>
      <c r="BD20" s="311">
        <f t="shared" si="25"/>
        <v>0</v>
      </c>
      <c r="BE20" s="310">
        <f>'План и исполнение'!M21+'План и исполнение'!U21+'План и исполнение'!AH21</f>
        <v>0</v>
      </c>
      <c r="BF20" s="311">
        <f>'План и исполнение'!CX21+'План и исполнение'!DF21+'План и исполнение'!CL21+'План и исполнение'!QZ21+'План и исполнение'!KZ21+'План и исполнение'!JH21+'План и исполнение'!NO21+'План и исполнение'!ML21+'План и исполнение'!BO21+'План и исполнение'!HP21+'План и исполнение'!FZ21+'План и исполнение'!PH21+'План и исполнение'!QP21</f>
        <v>0</v>
      </c>
      <c r="BG20" s="309"/>
      <c r="BH20" s="313">
        <f>'План и исполнение'!VS21+'План и исполнение'!TL21+'План и исполнение'!SZ21+'План и исполнение'!TX21+'План и исполнение'!UN21</f>
        <v>0</v>
      </c>
      <c r="BI20" s="312"/>
      <c r="BK20" s="1587">
        <f t="shared" si="26"/>
        <v>228658.79715999999</v>
      </c>
      <c r="BL20" s="1587">
        <f t="shared" si="27"/>
        <v>210797.75868</v>
      </c>
      <c r="BM20" s="1587">
        <f t="shared" si="28"/>
        <v>17861.038479999999</v>
      </c>
      <c r="BN20" s="1587">
        <f t="shared" si="29"/>
        <v>0</v>
      </c>
      <c r="BO20" s="1621"/>
    </row>
    <row r="21" spans="1:67" ht="21.75" customHeight="1" x14ac:dyDescent="0.3">
      <c r="A21" s="27" t="s">
        <v>89</v>
      </c>
      <c r="B21" s="20">
        <f>'План и исполнение'!B22</f>
        <v>786132004.27999997</v>
      </c>
      <c r="C21" s="21">
        <f>'План и исполнение'!D22</f>
        <v>148336005</v>
      </c>
      <c r="D21" s="212">
        <f>'План и исполнение'!AI22</f>
        <v>220976250.27999997</v>
      </c>
      <c r="E21" s="20">
        <f>'План и исполнение'!RA22</f>
        <v>416819749</v>
      </c>
      <c r="F21" s="26">
        <f>'План и исполнение'!SG22</f>
        <v>0</v>
      </c>
      <c r="G21" s="26"/>
      <c r="H21" s="22">
        <f t="shared" si="5"/>
        <v>587119936.01999998</v>
      </c>
      <c r="I21" s="23">
        <f t="shared" si="6"/>
        <v>88603555</v>
      </c>
      <c r="J21" s="22">
        <f t="shared" si="7"/>
        <v>83497132.019999981</v>
      </c>
      <c r="K21" s="23">
        <f t="shared" si="8"/>
        <v>415019249</v>
      </c>
      <c r="L21" s="23">
        <f t="shared" si="9"/>
        <v>0</v>
      </c>
      <c r="M21" s="22"/>
      <c r="N21" s="24">
        <f t="shared" si="10"/>
        <v>199012068.25999999</v>
      </c>
      <c r="O21" s="23">
        <f>'План и исполнение'!P22+'План и исполнение'!AA22+'План и исполнение'!H22</f>
        <v>59732450</v>
      </c>
      <c r="P21" s="22">
        <f>'План и исполнение'!CA22+'План и исполнение'!CS22+'План и исполнение'!DA22+'План и исполнение'!KA22+'План и исполнение'!MU22+'План и исполнение'!IS22+'План и исполнение'!QU22+'План и исполнение'!MA22+'План и исполнение'!AU22+'План и исполнение'!GQ22+'План и исполнение'!FQ22+'План и исполнение'!NY22+'План и исполнение'!QA22</f>
        <v>137479118.25999999</v>
      </c>
      <c r="Q21" s="24">
        <f>'План и исполнение'!RM22</f>
        <v>1800500</v>
      </c>
      <c r="R21" s="20">
        <f>'План и исполнение'!VI22+'План и исполнение'!TE22+'План и исполнение'!SS22+'План и исполнение'!TQ22+'План и исполнение'!UE22</f>
        <v>0</v>
      </c>
      <c r="S21" s="25"/>
      <c r="T21" s="309">
        <f t="shared" si="11"/>
        <v>67168951.719999999</v>
      </c>
      <c r="U21" s="309">
        <f t="shared" si="12"/>
        <v>47355250</v>
      </c>
      <c r="V21" s="310">
        <f t="shared" si="13"/>
        <v>18013201.719999999</v>
      </c>
      <c r="W21" s="311">
        <f t="shared" si="14"/>
        <v>1800500</v>
      </c>
      <c r="X21" s="310">
        <f t="shared" si="15"/>
        <v>0</v>
      </c>
      <c r="Y21" s="312"/>
      <c r="Z21" s="311">
        <f t="shared" si="16"/>
        <v>131843116.53999999</v>
      </c>
      <c r="AA21" s="309">
        <f>'План и исполнение'!AG22+'План и исполнение'!T22+'План и исполнение'!L22</f>
        <v>12377200</v>
      </c>
      <c r="AB21" s="310">
        <f>'План и исполнение'!CW22+'План и исполнение'!DE22+'План и исполнение'!CK22+'План и исполнение'!QY22+'План и исполнение'!KU22+'План и исполнение'!JE22+'План и исполнение'!NK22+'План и исполнение'!MK22+'План и исполнение'!BK22+'План и исполнение'!HK22+'План и исполнение'!FY22+'План и исполнение'!PA22+'План и исполнение'!QM22</f>
        <v>119465916.53999999</v>
      </c>
      <c r="AC21" s="311"/>
      <c r="AD21" s="313">
        <f>'План и исполнение'!VQ22+'План и исполнение'!TK22+'План и исполнение'!SY22+'План и исполнение'!TW22+'План и исполнение'!UM22</f>
        <v>0</v>
      </c>
      <c r="AE21" s="312"/>
      <c r="AF21" s="26">
        <f>'План и исполнение'!C22</f>
        <v>334410908.04999995</v>
      </c>
      <c r="AG21" s="21">
        <f>'План и исполнение'!E22</f>
        <v>64318397.370000005</v>
      </c>
      <c r="AH21" s="212">
        <f>'План и исполнение'!AJ22</f>
        <v>36429014.900000006</v>
      </c>
      <c r="AI21" s="20">
        <f>'План и исполнение'!RD22</f>
        <v>233663495.78</v>
      </c>
      <c r="AJ21" s="25">
        <f>'План и исполнение'!SH22</f>
        <v>0</v>
      </c>
      <c r="AK21" s="26"/>
      <c r="AL21" s="22">
        <f t="shared" si="17"/>
        <v>268569453.51999998</v>
      </c>
      <c r="AM21" s="23">
        <f t="shared" si="18"/>
        <v>33280296.000000007</v>
      </c>
      <c r="AN21" s="22">
        <f t="shared" si="19"/>
        <v>2354821.4900000021</v>
      </c>
      <c r="AO21" s="23">
        <f t="shared" si="20"/>
        <v>232934336.03</v>
      </c>
      <c r="AP21" s="23">
        <f t="shared" si="21"/>
        <v>0</v>
      </c>
      <c r="AQ21" s="22"/>
      <c r="AR21" s="24">
        <f t="shared" si="22"/>
        <v>65841454.530000001</v>
      </c>
      <c r="AS21" s="24">
        <f>'План и исполнение'!Q22+'План и исполнение'!AB22+'План и исполнение'!I22</f>
        <v>31038101.369999997</v>
      </c>
      <c r="AT21" s="23">
        <f>'План и исполнение'!QV22+'План и исполнение'!DB22+'План и исполнение'!CT22+'План и исполнение'!CE22+'План и исполнение'!KF22+'План и исполнение'!IV22+'План и исполнение'!MY22+'План и исполнение'!ME22+'План и исполнение'!AY22+'План и исполнение'!GV22+'План и исполнение'!FT22+'План и исполнение'!OF22+'План и исполнение'!QD22</f>
        <v>34074193.410000004</v>
      </c>
      <c r="AU21" s="22">
        <f>'План и исполнение'!RN22</f>
        <v>729159.75</v>
      </c>
      <c r="AV21" s="23">
        <f>'План и исполнение'!VK22+'План и исполнение'!TG22+'План и исполнение'!SU22+'План и исполнение'!TS22+'План и исполнение'!UH22</f>
        <v>0</v>
      </c>
      <c r="AW21" s="26"/>
      <c r="AX21" s="309">
        <f t="shared" si="23"/>
        <v>34270172.549999997</v>
      </c>
      <c r="AY21" s="309">
        <f t="shared" si="24"/>
        <v>24049501.169999998</v>
      </c>
      <c r="AZ21" s="310">
        <f t="shared" si="2"/>
        <v>9491511.6300000027</v>
      </c>
      <c r="BA21" s="311">
        <f t="shared" si="3"/>
        <v>729159.75</v>
      </c>
      <c r="BB21" s="310">
        <f t="shared" si="4"/>
        <v>0</v>
      </c>
      <c r="BC21" s="312"/>
      <c r="BD21" s="311">
        <f t="shared" si="25"/>
        <v>31571281.98</v>
      </c>
      <c r="BE21" s="310">
        <f>'План и исполнение'!M22+'План и исполнение'!U22+'План и исполнение'!AH22</f>
        <v>6988600.2000000002</v>
      </c>
      <c r="BF21" s="311">
        <f>'План и исполнение'!CX22+'План и исполнение'!DF22+'План и исполнение'!CL22+'План и исполнение'!QZ22+'План и исполнение'!KZ22+'План и исполнение'!JH22+'План и исполнение'!NO22+'План и исполнение'!ML22+'План и исполнение'!BO22+'План и исполнение'!HP22+'План и исполнение'!FZ22+'План и исполнение'!PH22+'План и исполнение'!QP22</f>
        <v>24582681.780000001</v>
      </c>
      <c r="BG21" s="309"/>
      <c r="BH21" s="313">
        <f>'План и исполнение'!VS22+'План и исполнение'!TL22+'План и исполнение'!SZ22+'План и исполнение'!TX22+'План и исполнение'!UN22</f>
        <v>0</v>
      </c>
      <c r="BI21" s="312"/>
      <c r="BK21" s="1587">
        <f t="shared" si="26"/>
        <v>637795.99927999999</v>
      </c>
      <c r="BL21" s="1587">
        <f t="shared" si="27"/>
        <v>498516.38101999997</v>
      </c>
      <c r="BM21" s="1587">
        <f t="shared" si="28"/>
        <v>19813.701719999997</v>
      </c>
      <c r="BN21" s="1587">
        <f t="shared" si="29"/>
        <v>119465.91653999999</v>
      </c>
      <c r="BO21" s="1621"/>
    </row>
    <row r="22" spans="1:67" ht="21.75" customHeight="1" x14ac:dyDescent="0.3">
      <c r="A22" s="19" t="s">
        <v>90</v>
      </c>
      <c r="B22" s="20">
        <f>'План и исполнение'!B23</f>
        <v>414421269.44999999</v>
      </c>
      <c r="C22" s="21">
        <f>'План и исполнение'!D23</f>
        <v>96506500</v>
      </c>
      <c r="D22" s="212">
        <f>'План и исполнение'!AI23</f>
        <v>56957214.450000003</v>
      </c>
      <c r="E22" s="20">
        <f>'План и исполнение'!RA23</f>
        <v>260957555</v>
      </c>
      <c r="F22" s="26">
        <f>'План и исполнение'!SG23</f>
        <v>0</v>
      </c>
      <c r="G22" s="26"/>
      <c r="H22" s="22">
        <f t="shared" si="5"/>
        <v>375559715.61000001</v>
      </c>
      <c r="I22" s="23">
        <f t="shared" si="6"/>
        <v>72961800</v>
      </c>
      <c r="J22" s="22">
        <f t="shared" si="7"/>
        <v>42809260.609999999</v>
      </c>
      <c r="K22" s="23">
        <f t="shared" si="8"/>
        <v>259788655</v>
      </c>
      <c r="L22" s="23">
        <f t="shared" si="9"/>
        <v>0</v>
      </c>
      <c r="M22" s="22"/>
      <c r="N22" s="24">
        <f t="shared" si="10"/>
        <v>38861553.840000004</v>
      </c>
      <c r="O22" s="23">
        <f>'План и исполнение'!P23+'План и исполнение'!AA23+'План и исполнение'!H23</f>
        <v>23544700</v>
      </c>
      <c r="P22" s="22">
        <f>'План и исполнение'!CA23+'План и исполнение'!CS23+'План и исполнение'!DA23+'План и исполнение'!KA23+'План и исполнение'!MU23+'План и исполнение'!IS23+'План и исполнение'!QU23+'План и исполнение'!MA23+'План и исполнение'!AU23+'План и исполнение'!GQ23+'План и исполнение'!FQ23+'План и исполнение'!NY23+'План и исполнение'!QA23</f>
        <v>14147953.84</v>
      </c>
      <c r="Q22" s="24">
        <f>'План и исполнение'!RM23</f>
        <v>1168900</v>
      </c>
      <c r="R22" s="20">
        <f>'План и исполнение'!VI23+'План и исполнение'!TE23+'План и исполнение'!SS23+'План и исполнение'!TQ23+'План и исполнение'!UE23</f>
        <v>0</v>
      </c>
      <c r="S22" s="25"/>
      <c r="T22" s="309">
        <f t="shared" si="11"/>
        <v>38861553.840000004</v>
      </c>
      <c r="U22" s="309">
        <f t="shared" si="12"/>
        <v>23544700</v>
      </c>
      <c r="V22" s="310">
        <f t="shared" si="13"/>
        <v>14147953.84</v>
      </c>
      <c r="W22" s="311">
        <f t="shared" si="14"/>
        <v>1168900</v>
      </c>
      <c r="X22" s="310">
        <f t="shared" si="15"/>
        <v>0</v>
      </c>
      <c r="Y22" s="312"/>
      <c r="Z22" s="311">
        <f t="shared" si="16"/>
        <v>0</v>
      </c>
      <c r="AA22" s="309">
        <f>'План и исполнение'!AG23+'План и исполнение'!T23+'План и исполнение'!L23</f>
        <v>0</v>
      </c>
      <c r="AB22" s="310">
        <f>'План и исполнение'!CW23+'План и исполнение'!DE23+'План и исполнение'!CK23+'План и исполнение'!QY23+'План и исполнение'!KU23+'План и исполнение'!JE23+'План и исполнение'!NK23+'План и исполнение'!MK23+'План и исполнение'!BK23+'План и исполнение'!HK23+'План и исполнение'!FY23+'План и исполнение'!PA23+'План и исполнение'!QM23</f>
        <v>0</v>
      </c>
      <c r="AC22" s="311"/>
      <c r="AD22" s="313">
        <f>'План и исполнение'!VQ23+'План и исполнение'!TK23+'План и исполнение'!SY23+'План и исполнение'!TW23+'План и исполнение'!UM23</f>
        <v>0</v>
      </c>
      <c r="AE22" s="312"/>
      <c r="AF22" s="26">
        <f>'План и исполнение'!C23</f>
        <v>201093722.84999999</v>
      </c>
      <c r="AG22" s="21">
        <f>'План и исполнение'!E23</f>
        <v>50360135</v>
      </c>
      <c r="AH22" s="212">
        <f>'План и исполнение'!AJ23</f>
        <v>8845978.25</v>
      </c>
      <c r="AI22" s="20">
        <f>'План и исполнение'!RD23</f>
        <v>141887609.59999999</v>
      </c>
      <c r="AJ22" s="25">
        <f>'План и исполнение'!SH23</f>
        <v>0</v>
      </c>
      <c r="AK22" s="26"/>
      <c r="AL22" s="22">
        <f t="shared" si="17"/>
        <v>180915590.19</v>
      </c>
      <c r="AM22" s="23">
        <f t="shared" si="18"/>
        <v>37252801</v>
      </c>
      <c r="AN22" s="22">
        <f t="shared" si="19"/>
        <v>2223118.7000000002</v>
      </c>
      <c r="AO22" s="23">
        <f t="shared" si="20"/>
        <v>141439670.48999998</v>
      </c>
      <c r="AP22" s="23">
        <f t="shared" si="21"/>
        <v>0</v>
      </c>
      <c r="AQ22" s="22"/>
      <c r="AR22" s="24">
        <f t="shared" si="22"/>
        <v>20178132.66</v>
      </c>
      <c r="AS22" s="24">
        <f>'План и исполнение'!Q23+'План и исполнение'!AB23+'План и исполнение'!I23</f>
        <v>13107334</v>
      </c>
      <c r="AT22" s="23">
        <f>'План и исполнение'!QV23+'План и исполнение'!DB23+'План и исполнение'!CT23+'План и исполнение'!CE23+'План и исполнение'!KF23+'План и исполнение'!IV23+'План и исполнение'!MY23+'План и исполнение'!ME23+'План и исполнение'!AY23+'План и исполнение'!GV23+'План и исполнение'!FT23+'План и исполнение'!OF23+'План и исполнение'!QD23</f>
        <v>6622859.5499999998</v>
      </c>
      <c r="AU22" s="22">
        <f>'План и исполнение'!RN23</f>
        <v>447939.11</v>
      </c>
      <c r="AV22" s="23">
        <f>'План и исполнение'!VK23+'План и исполнение'!TG23+'План и исполнение'!SU23+'План и исполнение'!TS23+'План и исполнение'!UH23</f>
        <v>0</v>
      </c>
      <c r="AW22" s="26"/>
      <c r="AX22" s="309">
        <f t="shared" si="23"/>
        <v>20178132.66</v>
      </c>
      <c r="AY22" s="309">
        <f t="shared" si="24"/>
        <v>13107334</v>
      </c>
      <c r="AZ22" s="310">
        <f t="shared" si="2"/>
        <v>6622859.5499999998</v>
      </c>
      <c r="BA22" s="311">
        <f t="shared" si="3"/>
        <v>447939.11</v>
      </c>
      <c r="BB22" s="310">
        <f t="shared" si="4"/>
        <v>0</v>
      </c>
      <c r="BC22" s="312"/>
      <c r="BD22" s="311">
        <f t="shared" si="25"/>
        <v>0</v>
      </c>
      <c r="BE22" s="310">
        <f>'План и исполнение'!M23+'План и исполнение'!U23+'План и исполнение'!AH23</f>
        <v>0</v>
      </c>
      <c r="BF22" s="311">
        <f>'План и исполнение'!CX23+'План и исполнение'!DF23+'План и исполнение'!CL23+'План и исполнение'!QZ23+'План и исполнение'!KZ23+'План и исполнение'!JH23+'План и исполнение'!NO23+'План и исполнение'!ML23+'План и исполнение'!BO23+'План и исполнение'!HP23+'План и исполнение'!FZ23+'План и исполнение'!PH23+'План и исполнение'!QP23</f>
        <v>0</v>
      </c>
      <c r="BG22" s="309"/>
      <c r="BH22" s="313">
        <f>'План и исполнение'!VS23+'План и исполнение'!TL23+'План и исполнение'!SZ23+'План и исполнение'!TX23+'План и исполнение'!UN23</f>
        <v>0</v>
      </c>
      <c r="BI22" s="312"/>
      <c r="BK22" s="1587">
        <f t="shared" si="26"/>
        <v>317914.76944999996</v>
      </c>
      <c r="BL22" s="1587">
        <f t="shared" si="27"/>
        <v>302597.91561000003</v>
      </c>
      <c r="BM22" s="1587">
        <f t="shared" si="28"/>
        <v>15316.85384</v>
      </c>
      <c r="BN22" s="1587">
        <f t="shared" si="29"/>
        <v>0</v>
      </c>
      <c r="BO22" s="1621"/>
    </row>
    <row r="23" spans="1:67" ht="21.75" customHeight="1" x14ac:dyDescent="0.3">
      <c r="A23" s="27" t="s">
        <v>91</v>
      </c>
      <c r="B23" s="20">
        <f>'План и исполнение'!B24</f>
        <v>788403329.76999998</v>
      </c>
      <c r="C23" s="21">
        <f>'План и исполнение'!D24</f>
        <v>53004955</v>
      </c>
      <c r="D23" s="212">
        <f>'План и исполнение'!AI24</f>
        <v>154325349.76999998</v>
      </c>
      <c r="E23" s="20">
        <f>'План и исполнение'!RA24</f>
        <v>581073025</v>
      </c>
      <c r="F23" s="26">
        <f>'План и исполнение'!SG24</f>
        <v>0</v>
      </c>
      <c r="G23" s="26"/>
      <c r="H23" s="22">
        <f t="shared" si="5"/>
        <v>660924929</v>
      </c>
      <c r="I23" s="23">
        <f t="shared" si="6"/>
        <v>28719005</v>
      </c>
      <c r="J23" s="22">
        <f t="shared" si="7"/>
        <v>54082798.99999997</v>
      </c>
      <c r="K23" s="23">
        <f t="shared" si="8"/>
        <v>578123125</v>
      </c>
      <c r="L23" s="23">
        <f t="shared" si="9"/>
        <v>0</v>
      </c>
      <c r="M23" s="22"/>
      <c r="N23" s="24">
        <f t="shared" si="10"/>
        <v>127478400.77000001</v>
      </c>
      <c r="O23" s="23">
        <f>'План и исполнение'!P24+'План и исполнение'!AA24+'План и исполнение'!H24</f>
        <v>24285950</v>
      </c>
      <c r="P23" s="22">
        <f>'План и исполнение'!CA24+'План и исполнение'!CS24+'План и исполнение'!DA24+'План и исполнение'!KA24+'План и исполнение'!MU24+'План и исполнение'!IS24+'План и исполнение'!QU24+'План и исполнение'!MA24+'План и исполнение'!AU24+'План и исполнение'!GQ24+'План и исполнение'!FQ24+'План и исполнение'!NY24+'План и исполнение'!QA24</f>
        <v>100242550.77000001</v>
      </c>
      <c r="Q23" s="24">
        <f>'План и исполнение'!RM24</f>
        <v>2949900</v>
      </c>
      <c r="R23" s="20">
        <f>'План и исполнение'!VI24+'План и исполнение'!TE24+'План и исполнение'!SS24+'План и исполнение'!TQ24+'План и исполнение'!UE24</f>
        <v>0</v>
      </c>
      <c r="S23" s="25"/>
      <c r="T23" s="309">
        <f t="shared" si="11"/>
        <v>127478400.77000001</v>
      </c>
      <c r="U23" s="309">
        <f t="shared" si="12"/>
        <v>24285950</v>
      </c>
      <c r="V23" s="310">
        <f t="shared" si="13"/>
        <v>100242550.77000001</v>
      </c>
      <c r="W23" s="311">
        <f t="shared" si="14"/>
        <v>2949900</v>
      </c>
      <c r="X23" s="310">
        <f t="shared" si="15"/>
        <v>0</v>
      </c>
      <c r="Y23" s="312"/>
      <c r="Z23" s="311">
        <f t="shared" si="16"/>
        <v>0</v>
      </c>
      <c r="AA23" s="309">
        <f>'План и исполнение'!AG24+'План и исполнение'!T24+'План и исполнение'!L24</f>
        <v>0</v>
      </c>
      <c r="AB23" s="310">
        <f>'План и исполнение'!CW24+'План и исполнение'!DE24+'План и исполнение'!CK24+'План и исполнение'!QY24+'План и исполнение'!KU24+'План и исполнение'!JE24+'План и исполнение'!NK24+'План и исполнение'!MK24+'План и исполнение'!BK24+'План и исполнение'!HK24+'План и исполнение'!FY24+'План и исполнение'!PA24+'План и исполнение'!QM24</f>
        <v>0</v>
      </c>
      <c r="AC23" s="311"/>
      <c r="AD23" s="313">
        <f>'План и исполнение'!VQ24+'План и исполнение'!TK24+'План и исполнение'!SY24+'План и исполнение'!TW24+'План и исполнение'!UM24</f>
        <v>0</v>
      </c>
      <c r="AE23" s="312"/>
      <c r="AF23" s="26">
        <f>'План и исполнение'!C24</f>
        <v>466664960.74000001</v>
      </c>
      <c r="AG23" s="21">
        <f>'План и исполнение'!E24</f>
        <v>37061350</v>
      </c>
      <c r="AH23" s="212">
        <f>'План и исполнение'!AJ24</f>
        <v>56211993.950000003</v>
      </c>
      <c r="AI23" s="20">
        <f>'План и исполнение'!RD24</f>
        <v>373391616.79000002</v>
      </c>
      <c r="AJ23" s="25">
        <f>'План и исполнение'!SH24</f>
        <v>0</v>
      </c>
      <c r="AK23" s="26"/>
      <c r="AL23" s="22">
        <f t="shared" si="17"/>
        <v>417471442.29000002</v>
      </c>
      <c r="AM23" s="23">
        <f t="shared" si="18"/>
        <v>23725550</v>
      </c>
      <c r="AN23" s="22">
        <f t="shared" si="19"/>
        <v>21548154.380000003</v>
      </c>
      <c r="AO23" s="23">
        <f t="shared" si="20"/>
        <v>372197737.91000003</v>
      </c>
      <c r="AP23" s="23">
        <f t="shared" si="21"/>
        <v>0</v>
      </c>
      <c r="AQ23" s="22"/>
      <c r="AR23" s="24">
        <f t="shared" si="22"/>
        <v>49193518.450000003</v>
      </c>
      <c r="AS23" s="24">
        <f>'План и исполнение'!Q24+'План и исполнение'!AB24+'План и исполнение'!I24</f>
        <v>13335800</v>
      </c>
      <c r="AT23" s="23">
        <f>'План и исполнение'!QV24+'План и исполнение'!DB24+'План и исполнение'!CT24+'План и исполнение'!CE24+'План и исполнение'!KF24+'План и исполнение'!IV24+'План и исполнение'!MY24+'План и исполнение'!ME24+'План и исполнение'!AY24+'План и исполнение'!GV24+'План и исполнение'!FT24+'План и исполнение'!OF24+'План и исполнение'!QD24</f>
        <v>34663839.57</v>
      </c>
      <c r="AU23" s="22">
        <f>'План и исполнение'!RN24</f>
        <v>1193878.8799999999</v>
      </c>
      <c r="AV23" s="23">
        <f>'План и исполнение'!VK24+'План и исполнение'!TG24+'План и исполнение'!SU24+'План и исполнение'!TS24+'План и исполнение'!UH24</f>
        <v>0</v>
      </c>
      <c r="AW23" s="26"/>
      <c r="AX23" s="309">
        <f t="shared" si="23"/>
        <v>49193518.450000003</v>
      </c>
      <c r="AY23" s="309">
        <f t="shared" si="24"/>
        <v>13335800</v>
      </c>
      <c r="AZ23" s="310">
        <f t="shared" si="2"/>
        <v>34663839.57</v>
      </c>
      <c r="BA23" s="311">
        <f t="shared" si="3"/>
        <v>1193878.8799999999</v>
      </c>
      <c r="BB23" s="310">
        <f t="shared" si="4"/>
        <v>0</v>
      </c>
      <c r="BC23" s="312"/>
      <c r="BD23" s="311">
        <f t="shared" si="25"/>
        <v>0</v>
      </c>
      <c r="BE23" s="310">
        <f>'План и исполнение'!M24+'План и исполнение'!U24+'План и исполнение'!AH24</f>
        <v>0</v>
      </c>
      <c r="BF23" s="311">
        <f>'План и исполнение'!CX24+'План и исполнение'!DF24+'План и исполнение'!CL24+'План и исполнение'!QZ24+'План и исполнение'!KZ24+'План и исполнение'!JH24+'План и исполнение'!NO24+'План и исполнение'!ML24+'План и исполнение'!BO24+'План и исполнение'!HP24+'План и исполнение'!FZ24+'План и исполнение'!PH24+'План и исполнение'!QP24</f>
        <v>0</v>
      </c>
      <c r="BG23" s="309"/>
      <c r="BH23" s="313">
        <f>'План и исполнение'!VS24+'План и исполнение'!TL24+'План и исполнение'!SZ24+'План и исполнение'!TX24+'План и исполнение'!UN24</f>
        <v>0</v>
      </c>
      <c r="BI23" s="312"/>
      <c r="BK23" s="1587">
        <f t="shared" si="26"/>
        <v>735398.37476999999</v>
      </c>
      <c r="BL23" s="1587">
        <f t="shared" si="27"/>
        <v>632205.924</v>
      </c>
      <c r="BM23" s="1587">
        <f t="shared" si="28"/>
        <v>103192.45077000001</v>
      </c>
      <c r="BN23" s="1587">
        <f t="shared" si="29"/>
        <v>0</v>
      </c>
      <c r="BO23" s="1621"/>
    </row>
    <row r="24" spans="1:67" ht="21.75" customHeight="1" x14ac:dyDescent="0.3">
      <c r="A24" s="19" t="s">
        <v>92</v>
      </c>
      <c r="B24" s="20">
        <f>'План и исполнение'!B25</f>
        <v>392167384.81999999</v>
      </c>
      <c r="C24" s="21">
        <f>'План и исполнение'!D25</f>
        <v>73317600</v>
      </c>
      <c r="D24" s="212">
        <f>'План и исполнение'!AI25</f>
        <v>98456727.819999993</v>
      </c>
      <c r="E24" s="20">
        <f>'План и исполнение'!RA25</f>
        <v>220393057</v>
      </c>
      <c r="F24" s="26">
        <f>'План и исполнение'!SG25</f>
        <v>0</v>
      </c>
      <c r="G24" s="26"/>
      <c r="H24" s="22">
        <f t="shared" si="5"/>
        <v>333971533.88</v>
      </c>
      <c r="I24" s="23">
        <f t="shared" si="6"/>
        <v>35509800</v>
      </c>
      <c r="J24" s="22">
        <f t="shared" si="7"/>
        <v>79448376.879999995</v>
      </c>
      <c r="K24" s="23">
        <f t="shared" si="8"/>
        <v>219013357</v>
      </c>
      <c r="L24" s="23">
        <f t="shared" si="9"/>
        <v>0</v>
      </c>
      <c r="M24" s="22"/>
      <c r="N24" s="24">
        <f t="shared" si="10"/>
        <v>58195850.939999998</v>
      </c>
      <c r="O24" s="23">
        <f>'План и исполнение'!P25+'План и исполнение'!AA25+'План и исполнение'!H25</f>
        <v>37807800</v>
      </c>
      <c r="P24" s="22">
        <f>'План и исполнение'!CA25+'План и исполнение'!CS25+'План и исполнение'!DA25+'План и исполнение'!KA25+'План и исполнение'!MU25+'План и исполнение'!IS25+'План и исполнение'!QU25+'План и исполнение'!MA25+'План и исполнение'!AU25+'План и исполнение'!GQ25+'План и исполнение'!FQ25+'План и исполнение'!NY25+'План и исполнение'!QA25</f>
        <v>19008350.940000001</v>
      </c>
      <c r="Q24" s="24">
        <f>'План и исполнение'!RM25</f>
        <v>1379700</v>
      </c>
      <c r="R24" s="20">
        <f>'План и исполнение'!VI25+'План и исполнение'!TE25+'План и исполнение'!SS25+'План и исполнение'!TQ25+'План и исполнение'!UE25</f>
        <v>0</v>
      </c>
      <c r="S24" s="25"/>
      <c r="T24" s="309">
        <f t="shared" si="11"/>
        <v>58195850.939999998</v>
      </c>
      <c r="U24" s="309">
        <f t="shared" si="12"/>
        <v>37807800</v>
      </c>
      <c r="V24" s="310">
        <f t="shared" si="13"/>
        <v>19008350.940000001</v>
      </c>
      <c r="W24" s="311">
        <f t="shared" si="14"/>
        <v>1379700</v>
      </c>
      <c r="X24" s="310">
        <f t="shared" si="15"/>
        <v>0</v>
      </c>
      <c r="Y24" s="312"/>
      <c r="Z24" s="311">
        <f t="shared" si="16"/>
        <v>0</v>
      </c>
      <c r="AA24" s="309">
        <f>'План и исполнение'!AG25+'План и исполнение'!T25+'План и исполнение'!L25</f>
        <v>0</v>
      </c>
      <c r="AB24" s="310">
        <f>'План и исполнение'!CW25+'План и исполнение'!DE25+'План и исполнение'!CK25+'План и исполнение'!QY25+'План и исполнение'!KU25+'План и исполнение'!JE25+'План и исполнение'!NK25+'План и исполнение'!MK25+'План и исполнение'!BK25+'План и исполнение'!HK25+'План и исполнение'!FY25+'План и исполнение'!PA25+'План и исполнение'!QM25</f>
        <v>0</v>
      </c>
      <c r="AC24" s="311"/>
      <c r="AD24" s="313">
        <f>'План и исполнение'!VQ25+'План и исполнение'!TK25+'План и исполнение'!SY25+'План и исполнение'!TW25+'План и исполнение'!UM25</f>
        <v>0</v>
      </c>
      <c r="AE24" s="312"/>
      <c r="AF24" s="26">
        <f>'План и исполнение'!C25</f>
        <v>197212086.53</v>
      </c>
      <c r="AG24" s="21">
        <f>'План и исполнение'!E25</f>
        <v>45065000</v>
      </c>
      <c r="AH24" s="212">
        <f>'План и исполнение'!AJ25</f>
        <v>23826383.100000005</v>
      </c>
      <c r="AI24" s="20">
        <f>'План и исполнение'!RD25</f>
        <v>128320703.43000001</v>
      </c>
      <c r="AJ24" s="25">
        <f>'План и исполнение'!SH25</f>
        <v>0</v>
      </c>
      <c r="AK24" s="26"/>
      <c r="AL24" s="22">
        <f t="shared" si="17"/>
        <v>167304876.44</v>
      </c>
      <c r="AM24" s="23">
        <f t="shared" si="18"/>
        <v>25262000</v>
      </c>
      <c r="AN24" s="22">
        <f t="shared" si="19"/>
        <v>14396663.320000004</v>
      </c>
      <c r="AO24" s="23">
        <f t="shared" si="20"/>
        <v>127646213.12</v>
      </c>
      <c r="AP24" s="23">
        <f t="shared" si="21"/>
        <v>0</v>
      </c>
      <c r="AQ24" s="22"/>
      <c r="AR24" s="24">
        <f t="shared" si="22"/>
        <v>29907210.09</v>
      </c>
      <c r="AS24" s="24">
        <f>'План и исполнение'!Q25+'План и исполнение'!AB25+'План и исполнение'!I25</f>
        <v>19803000</v>
      </c>
      <c r="AT24" s="23">
        <f>'План и исполнение'!QV25+'План и исполнение'!DB25+'План и исполнение'!CT25+'План и исполнение'!CE25+'План и исполнение'!KF25+'План и исполнение'!IV25+'План и исполнение'!MY25+'План и исполнение'!ME25+'План и исполнение'!AY25+'План и исполнение'!GV25+'План и исполнение'!FT25+'План и исполнение'!OF25+'План и исполнение'!QD25</f>
        <v>9429719.7800000012</v>
      </c>
      <c r="AU24" s="22">
        <f>'План и исполнение'!RN25</f>
        <v>674490.31</v>
      </c>
      <c r="AV24" s="23">
        <f>'План и исполнение'!VK25+'План и исполнение'!TG25+'План и исполнение'!SU25+'План и исполнение'!TS25+'План и исполнение'!UH25</f>
        <v>0</v>
      </c>
      <c r="AW24" s="26"/>
      <c r="AX24" s="309">
        <f t="shared" si="23"/>
        <v>29907210.09</v>
      </c>
      <c r="AY24" s="309">
        <f t="shared" si="24"/>
        <v>19803000</v>
      </c>
      <c r="AZ24" s="310">
        <f t="shared" si="2"/>
        <v>9429719.7800000012</v>
      </c>
      <c r="BA24" s="311">
        <f t="shared" si="3"/>
        <v>674490.31</v>
      </c>
      <c r="BB24" s="310">
        <f t="shared" si="4"/>
        <v>0</v>
      </c>
      <c r="BC24" s="312"/>
      <c r="BD24" s="311">
        <f t="shared" si="25"/>
        <v>0</v>
      </c>
      <c r="BE24" s="310">
        <f>'План и исполнение'!M25+'План и исполнение'!U25+'План и исполнение'!AH25</f>
        <v>0</v>
      </c>
      <c r="BF24" s="311">
        <f>'План и исполнение'!CX25+'План и исполнение'!DF25+'План и исполнение'!CL25+'План и исполнение'!QZ25+'План и исполнение'!KZ25+'План и исполнение'!JH25+'План и исполнение'!NO25+'План и исполнение'!ML25+'План и исполнение'!BO25+'План и исполнение'!HP25+'План и исполнение'!FZ25+'План и исполнение'!PH25+'План и исполнение'!QP25</f>
        <v>0</v>
      </c>
      <c r="BG24" s="309"/>
      <c r="BH24" s="313">
        <f>'План и исполнение'!VS25+'План и исполнение'!TL25+'План и исполнение'!SZ25+'План и исполнение'!TX25+'План и исполнение'!UN25</f>
        <v>0</v>
      </c>
      <c r="BI24" s="312"/>
      <c r="BK24" s="1587">
        <f t="shared" si="26"/>
        <v>318849.78482</v>
      </c>
      <c r="BL24" s="1587">
        <f t="shared" si="27"/>
        <v>298461.73388000001</v>
      </c>
      <c r="BM24" s="1587">
        <f t="shared" si="28"/>
        <v>20388.050940000001</v>
      </c>
      <c r="BN24" s="1587">
        <f t="shared" si="29"/>
        <v>0</v>
      </c>
      <c r="BO24" s="1621"/>
    </row>
    <row r="25" spans="1:67" ht="21.75" customHeight="1" x14ac:dyDescent="0.3">
      <c r="A25" s="27" t="s">
        <v>93</v>
      </c>
      <c r="B25" s="20">
        <f>'План и исполнение'!B26</f>
        <v>655293323.16999996</v>
      </c>
      <c r="C25" s="21">
        <f>'План и исполнение'!D26</f>
        <v>73534642</v>
      </c>
      <c r="D25" s="212">
        <f>'План и исполнение'!AI26</f>
        <v>295403404.16999996</v>
      </c>
      <c r="E25" s="20">
        <f>'План и исполнение'!RA26</f>
        <v>286355277</v>
      </c>
      <c r="F25" s="26">
        <f>'План и исполнение'!SG26</f>
        <v>0</v>
      </c>
      <c r="G25" s="26"/>
      <c r="H25" s="22">
        <f t="shared" si="5"/>
        <v>570385443.94999993</v>
      </c>
      <c r="I25" s="23">
        <f t="shared" si="6"/>
        <v>34006442</v>
      </c>
      <c r="J25" s="22">
        <f t="shared" si="7"/>
        <v>251301224.94999996</v>
      </c>
      <c r="K25" s="23">
        <f t="shared" si="8"/>
        <v>285077777</v>
      </c>
      <c r="L25" s="23">
        <f t="shared" si="9"/>
        <v>0</v>
      </c>
      <c r="M25" s="22"/>
      <c r="N25" s="24">
        <f t="shared" si="10"/>
        <v>84907879.219999999</v>
      </c>
      <c r="O25" s="23">
        <f>'План и исполнение'!P26+'План и исполнение'!AA26+'План и исполнение'!H26</f>
        <v>39528200</v>
      </c>
      <c r="P25" s="22">
        <f>'План и исполнение'!CA26+'План и исполнение'!CS26+'План и исполнение'!DA26+'План и исполнение'!KA26+'План и исполнение'!MU26+'План и исполнение'!IS26+'План и исполнение'!QU26+'План и исполнение'!MA26+'План и исполнение'!AU26+'План и исполнение'!GQ26+'План и исполнение'!FQ26+'План и исполнение'!NY26+'План и исполнение'!QA26</f>
        <v>44102179.219999999</v>
      </c>
      <c r="Q25" s="24">
        <f>'План и исполнение'!RM26</f>
        <v>1277500</v>
      </c>
      <c r="R25" s="20">
        <f>'План и исполнение'!VI26+'План и исполнение'!TE26+'План и исполнение'!SS26+'План и исполнение'!TQ26+'План и исполнение'!UE26</f>
        <v>0</v>
      </c>
      <c r="S25" s="25"/>
      <c r="T25" s="309">
        <f t="shared" si="11"/>
        <v>84907879.219999999</v>
      </c>
      <c r="U25" s="309">
        <f t="shared" si="12"/>
        <v>39528200</v>
      </c>
      <c r="V25" s="310">
        <f t="shared" si="13"/>
        <v>44102179.219999999</v>
      </c>
      <c r="W25" s="311">
        <f t="shared" si="14"/>
        <v>1277500</v>
      </c>
      <c r="X25" s="310">
        <f t="shared" si="15"/>
        <v>0</v>
      </c>
      <c r="Y25" s="312"/>
      <c r="Z25" s="311">
        <f t="shared" si="16"/>
        <v>0</v>
      </c>
      <c r="AA25" s="309">
        <f>'План и исполнение'!AG26+'План и исполнение'!T26+'План и исполнение'!L26</f>
        <v>0</v>
      </c>
      <c r="AB25" s="310">
        <f>'План и исполнение'!CW26+'План и исполнение'!DE26+'План и исполнение'!CK26+'План и исполнение'!QY26+'План и исполнение'!KU26+'План и исполнение'!JE26+'План и исполнение'!NK26+'План и исполнение'!MK26+'План и исполнение'!BK26+'План и исполнение'!HK26+'План и исполнение'!FY26+'План и исполнение'!PA26+'План и исполнение'!QM26</f>
        <v>0</v>
      </c>
      <c r="AC25" s="311"/>
      <c r="AD25" s="313">
        <f>'План и исполнение'!VQ26+'План и исполнение'!TK26+'План и исполнение'!SY26+'План и исполнение'!TW26+'План и исполнение'!UM26</f>
        <v>0</v>
      </c>
      <c r="AE25" s="312"/>
      <c r="AF25" s="26">
        <f>'План и исполнение'!C26</f>
        <v>264717108.35999998</v>
      </c>
      <c r="AG25" s="21">
        <f>'План и исполнение'!E26</f>
        <v>42272550</v>
      </c>
      <c r="AH25" s="212">
        <f>'План и исполнение'!AJ26</f>
        <v>38314495.289999999</v>
      </c>
      <c r="AI25" s="20">
        <f>'План и исполнение'!RD26</f>
        <v>184130063.06999999</v>
      </c>
      <c r="AJ25" s="25">
        <f>'План и исполнение'!SH26</f>
        <v>0</v>
      </c>
      <c r="AK25" s="26"/>
      <c r="AL25" s="22">
        <f t="shared" si="17"/>
        <v>220751929.31999999</v>
      </c>
      <c r="AM25" s="23">
        <f t="shared" si="18"/>
        <v>20744500</v>
      </c>
      <c r="AN25" s="22">
        <f t="shared" si="19"/>
        <v>16453164.52</v>
      </c>
      <c r="AO25" s="23">
        <f t="shared" si="20"/>
        <v>183554264.79999998</v>
      </c>
      <c r="AP25" s="23">
        <f t="shared" si="21"/>
        <v>0</v>
      </c>
      <c r="AQ25" s="22"/>
      <c r="AR25" s="24">
        <f t="shared" si="22"/>
        <v>43965179.039999999</v>
      </c>
      <c r="AS25" s="24">
        <f>'План и исполнение'!Q26+'План и исполнение'!AB26+'План и исполнение'!I26</f>
        <v>21528050</v>
      </c>
      <c r="AT25" s="23">
        <f>'План и исполнение'!QV26+'План и исполнение'!DB26+'План и исполнение'!CT26+'План и исполнение'!CE26+'План и исполнение'!KF26+'План и исполнение'!IV26+'План и исполнение'!MY26+'План и исполнение'!ME26+'План и исполнение'!AY26+'План и исполнение'!GV26+'План и исполнение'!FT26+'План и исполнение'!OF26+'План и исполнение'!QD26</f>
        <v>21861330.77</v>
      </c>
      <c r="AU25" s="22">
        <f>'План и исполнение'!RN26</f>
        <v>575798.27</v>
      </c>
      <c r="AV25" s="23">
        <f>'План и исполнение'!VK26+'План и исполнение'!TG26+'План и исполнение'!SU26+'План и исполнение'!TS26+'План и исполнение'!UH26</f>
        <v>0</v>
      </c>
      <c r="AW25" s="26"/>
      <c r="AX25" s="309">
        <f t="shared" si="23"/>
        <v>43965179.039999999</v>
      </c>
      <c r="AY25" s="309">
        <f t="shared" si="24"/>
        <v>21528050</v>
      </c>
      <c r="AZ25" s="310">
        <f t="shared" si="2"/>
        <v>21861330.77</v>
      </c>
      <c r="BA25" s="311">
        <f t="shared" si="3"/>
        <v>575798.27</v>
      </c>
      <c r="BB25" s="310">
        <f t="shared" si="4"/>
        <v>0</v>
      </c>
      <c r="BC25" s="312"/>
      <c r="BD25" s="311">
        <f t="shared" si="25"/>
        <v>0</v>
      </c>
      <c r="BE25" s="310">
        <f>'План и исполнение'!M26+'План и исполнение'!U26+'План и исполнение'!AH26</f>
        <v>0</v>
      </c>
      <c r="BF25" s="311">
        <f>'План и исполнение'!CX26+'План и исполнение'!DF26+'План и исполнение'!CL26+'План и исполнение'!QZ26+'План и исполнение'!KZ26+'План и исполнение'!JH26+'План и исполнение'!NO26+'План и исполнение'!ML26+'План и исполнение'!BO26+'План и исполнение'!HP26+'План и исполнение'!FZ26+'План и исполнение'!PH26+'План и исполнение'!QP26</f>
        <v>0</v>
      </c>
      <c r="BG25" s="309"/>
      <c r="BH25" s="313">
        <f>'План и исполнение'!VS26+'План и исполнение'!TL26+'План и исполнение'!SZ26+'План и исполнение'!TX26+'План и исполнение'!UN26</f>
        <v>0</v>
      </c>
      <c r="BI25" s="312"/>
      <c r="BK25" s="1587">
        <f t="shared" si="26"/>
        <v>581758.68117</v>
      </c>
      <c r="BL25" s="1587">
        <f t="shared" si="27"/>
        <v>536379.00194999995</v>
      </c>
      <c r="BM25" s="1587">
        <f t="shared" si="28"/>
        <v>45379.679219999998</v>
      </c>
      <c r="BN25" s="1587">
        <f t="shared" si="29"/>
        <v>0</v>
      </c>
      <c r="BO25" s="1621"/>
    </row>
    <row r="26" spans="1:67" ht="21.75" customHeight="1" x14ac:dyDescent="0.3">
      <c r="A26" s="19" t="s">
        <v>94</v>
      </c>
      <c r="B26" s="20">
        <f>'План и исполнение'!B27</f>
        <v>1465123206.9400001</v>
      </c>
      <c r="C26" s="21">
        <f>'План и исполнение'!D27</f>
        <v>465634460</v>
      </c>
      <c r="D26" s="212">
        <f>'План и исполнение'!AI27</f>
        <v>544732878.94000006</v>
      </c>
      <c r="E26" s="20">
        <f>'План и исполнение'!RA27</f>
        <v>454755868</v>
      </c>
      <c r="F26" s="26">
        <f>'План и исполнение'!SG27</f>
        <v>0</v>
      </c>
      <c r="G26" s="26"/>
      <c r="H26" s="22">
        <f t="shared" si="5"/>
        <v>1193102737.2</v>
      </c>
      <c r="I26" s="23">
        <f t="shared" si="6"/>
        <v>338463660</v>
      </c>
      <c r="J26" s="22">
        <f t="shared" si="7"/>
        <v>402291509.20000005</v>
      </c>
      <c r="K26" s="23">
        <f t="shared" si="8"/>
        <v>452347568</v>
      </c>
      <c r="L26" s="23">
        <f t="shared" si="9"/>
        <v>0</v>
      </c>
      <c r="M26" s="22"/>
      <c r="N26" s="24">
        <f t="shared" si="10"/>
        <v>272020469.74000001</v>
      </c>
      <c r="O26" s="23">
        <f>'План и исполнение'!P27+'План и исполнение'!AA27+'План и исполнение'!H27</f>
        <v>127170800</v>
      </c>
      <c r="P26" s="22">
        <f>'План и исполнение'!CA27+'План и исполнение'!CS27+'План и исполнение'!DA27+'План и исполнение'!KA27+'План и исполнение'!MU27+'План и исполнение'!IS27+'План и исполнение'!QU27+'План и исполнение'!MA27+'План и исполнение'!AU27+'План и исполнение'!GQ27+'План и исполнение'!FQ27+'План и исполнение'!NY27+'План и исполнение'!QA27</f>
        <v>142441369.73999998</v>
      </c>
      <c r="Q26" s="24">
        <f>'План и исполнение'!RM27</f>
        <v>2408300</v>
      </c>
      <c r="R26" s="20">
        <f>'План и исполнение'!VI27+'План и исполнение'!TE27+'План и исполнение'!SS27+'План и исполнение'!TQ27+'План и исполнение'!UE27</f>
        <v>0</v>
      </c>
      <c r="S26" s="25"/>
      <c r="T26" s="309">
        <f t="shared" si="11"/>
        <v>126041454.92999998</v>
      </c>
      <c r="U26" s="309">
        <f t="shared" si="12"/>
        <v>90444400</v>
      </c>
      <c r="V26" s="310">
        <f t="shared" si="13"/>
        <v>33188754.929999977</v>
      </c>
      <c r="W26" s="311">
        <f t="shared" si="14"/>
        <v>2408300</v>
      </c>
      <c r="X26" s="310">
        <f t="shared" si="15"/>
        <v>0</v>
      </c>
      <c r="Y26" s="312"/>
      <c r="Z26" s="311">
        <f t="shared" si="16"/>
        <v>145979014.81</v>
      </c>
      <c r="AA26" s="309">
        <f>'План и исполнение'!AG27+'План и исполнение'!T27+'План и исполнение'!L27</f>
        <v>36726400</v>
      </c>
      <c r="AB26" s="310">
        <f>'План и исполнение'!CW27+'План и исполнение'!DE27+'План и исполнение'!CK27+'План и исполнение'!QY27+'План и исполнение'!KU27+'План и исполнение'!JE27+'План и исполнение'!NK27+'План и исполнение'!MK27+'План и исполнение'!BK27+'План и исполнение'!HK27+'План и исполнение'!FY27+'План и исполнение'!PA27+'План и исполнение'!QM27</f>
        <v>109252614.81</v>
      </c>
      <c r="AC26" s="311"/>
      <c r="AD26" s="313">
        <f>'План и исполнение'!VQ27+'План и исполнение'!TK27+'План и исполнение'!SY27+'План и исполнение'!TW27+'План и исполнение'!UM27</f>
        <v>0</v>
      </c>
      <c r="AE26" s="312"/>
      <c r="AF26" s="26">
        <f>'План и исполнение'!C27</f>
        <v>1032715591.04</v>
      </c>
      <c r="AG26" s="21">
        <f>'План и исполнение'!E27</f>
        <v>387367211</v>
      </c>
      <c r="AH26" s="212">
        <f>'План и исполнение'!AJ27</f>
        <v>394543813.43000001</v>
      </c>
      <c r="AI26" s="20">
        <f>'План и исполнение'!RD27</f>
        <v>250804566.61000001</v>
      </c>
      <c r="AJ26" s="25">
        <f>'План и исполнение'!SH27</f>
        <v>0</v>
      </c>
      <c r="AK26" s="26"/>
      <c r="AL26" s="22">
        <f t="shared" si="17"/>
        <v>933681916.78999996</v>
      </c>
      <c r="AM26" s="23">
        <f t="shared" si="18"/>
        <v>316836990</v>
      </c>
      <c r="AN26" s="22">
        <f t="shared" si="19"/>
        <v>367244510.18000001</v>
      </c>
      <c r="AO26" s="23">
        <f t="shared" si="20"/>
        <v>249600416.61000001</v>
      </c>
      <c r="AP26" s="23">
        <f t="shared" si="21"/>
        <v>0</v>
      </c>
      <c r="AQ26" s="22"/>
      <c r="AR26" s="24">
        <f t="shared" si="22"/>
        <v>99033674.25</v>
      </c>
      <c r="AS26" s="24">
        <f>'План и исполнение'!Q27+'План и исполнение'!AB27+'План и исполнение'!I27</f>
        <v>70530221</v>
      </c>
      <c r="AT26" s="23">
        <f>'План и исполнение'!QV27+'План и исполнение'!DB27+'План и исполнение'!CT27+'План и исполнение'!CE27+'План и исполнение'!KF27+'План и исполнение'!IV27+'План и исполнение'!MY27+'План и исполнение'!ME27+'План и исполнение'!AY27+'План и исполнение'!GV27+'План и исполнение'!FT27+'План и исполнение'!OF27+'План и исполнение'!QD27</f>
        <v>27299303.25</v>
      </c>
      <c r="AU26" s="22">
        <f>'План и исполнение'!RN27</f>
        <v>1204150</v>
      </c>
      <c r="AV26" s="23">
        <f>'План и исполнение'!VK27+'План и исполнение'!TG27+'План и исполнение'!SU27+'План и исполнение'!TS27+'План и исполнение'!UH27</f>
        <v>0</v>
      </c>
      <c r="AW26" s="26"/>
      <c r="AX26" s="309">
        <f t="shared" si="23"/>
        <v>60709013.350000001</v>
      </c>
      <c r="AY26" s="309">
        <f t="shared" si="24"/>
        <v>49667025</v>
      </c>
      <c r="AZ26" s="310">
        <f t="shared" si="2"/>
        <v>9837838.3500000015</v>
      </c>
      <c r="BA26" s="311">
        <f t="shared" si="3"/>
        <v>1204150</v>
      </c>
      <c r="BB26" s="310">
        <f t="shared" si="4"/>
        <v>0</v>
      </c>
      <c r="BC26" s="312"/>
      <c r="BD26" s="311">
        <f t="shared" si="25"/>
        <v>38324660.899999999</v>
      </c>
      <c r="BE26" s="310">
        <f>'План и исполнение'!M27+'План и исполнение'!U27+'План и исполнение'!AH27</f>
        <v>20863196</v>
      </c>
      <c r="BF26" s="311">
        <f>'План и исполнение'!CX27+'План и исполнение'!DF27+'План и исполнение'!CL27+'План и исполнение'!QZ27+'План и исполнение'!KZ27+'План и исполнение'!JH27+'План и исполнение'!NO27+'План и исполнение'!ML27+'План и исполнение'!BO27+'План и исполнение'!HP27+'План и исполнение'!FZ27+'План и исполнение'!PH27+'План и исполнение'!QP27</f>
        <v>17461464.899999999</v>
      </c>
      <c r="BG26" s="309"/>
      <c r="BH26" s="313">
        <f>'План и исполнение'!VS27+'План и исполнение'!TL27+'План и исполнение'!SZ27+'План и исполнение'!TX27+'План и исполнение'!UN27</f>
        <v>0</v>
      </c>
      <c r="BI26" s="312"/>
      <c r="BK26" s="1587">
        <f t="shared" si="26"/>
        <v>999488.7469400001</v>
      </c>
      <c r="BL26" s="1587">
        <f t="shared" si="27"/>
        <v>854639.07720000006</v>
      </c>
      <c r="BM26" s="1587">
        <f t="shared" si="28"/>
        <v>35597.054929999977</v>
      </c>
      <c r="BN26" s="1587">
        <f t="shared" si="29"/>
        <v>109252.61481</v>
      </c>
      <c r="BO26" s="1621"/>
    </row>
    <row r="27" spans="1:67" ht="21.75" customHeight="1" x14ac:dyDescent="0.3">
      <c r="A27" s="19" t="s">
        <v>95</v>
      </c>
      <c r="B27" s="20">
        <f>'План и исполнение'!B28</f>
        <v>484817814.59000003</v>
      </c>
      <c r="C27" s="21">
        <f>'План и исполнение'!D28</f>
        <v>79449318</v>
      </c>
      <c r="D27" s="212">
        <f>'План и исполнение'!AI28</f>
        <v>179096820.59</v>
      </c>
      <c r="E27" s="20">
        <f>'План и исполнение'!RA28</f>
        <v>226271676</v>
      </c>
      <c r="F27" s="26">
        <f>'План и исполнение'!SG28</f>
        <v>0</v>
      </c>
      <c r="G27" s="26"/>
      <c r="H27" s="22">
        <f t="shared" si="5"/>
        <v>416657734.67000002</v>
      </c>
      <c r="I27" s="23">
        <f t="shared" si="6"/>
        <v>41855318</v>
      </c>
      <c r="J27" s="22">
        <f t="shared" si="7"/>
        <v>149887040.67000002</v>
      </c>
      <c r="K27" s="23">
        <f t="shared" si="8"/>
        <v>224915376</v>
      </c>
      <c r="L27" s="23">
        <f t="shared" si="9"/>
        <v>0</v>
      </c>
      <c r="M27" s="22"/>
      <c r="N27" s="24">
        <f t="shared" si="10"/>
        <v>68160079.920000002</v>
      </c>
      <c r="O27" s="23">
        <f>'План и исполнение'!P28+'План и исполнение'!AA28+'План и исполнение'!H28</f>
        <v>37594000</v>
      </c>
      <c r="P27" s="22">
        <f>'План и исполнение'!CA28+'План и исполнение'!CS28+'План и исполнение'!DA28+'План и исполнение'!KA28+'План и исполнение'!MU28+'План и исполнение'!IS28+'План и исполнение'!QU28+'План и исполнение'!MA28+'План и исполнение'!AU28+'План и исполнение'!GQ28+'План и исполнение'!FQ28+'План и исполнение'!NY28+'План и исполнение'!QA28</f>
        <v>29209779.920000002</v>
      </c>
      <c r="Q27" s="24">
        <f>'План и исполнение'!RM28</f>
        <v>1356300</v>
      </c>
      <c r="R27" s="20">
        <f>'План и исполнение'!VI28+'План и исполнение'!TE28+'План и исполнение'!SS28+'План и исполнение'!TQ28+'План и исполнение'!UE28</f>
        <v>0</v>
      </c>
      <c r="S27" s="25"/>
      <c r="T27" s="309">
        <f t="shared" si="11"/>
        <v>68160079.920000002</v>
      </c>
      <c r="U27" s="309">
        <f t="shared" si="12"/>
        <v>37594000</v>
      </c>
      <c r="V27" s="310">
        <f t="shared" si="13"/>
        <v>29209779.920000002</v>
      </c>
      <c r="W27" s="311">
        <f t="shared" si="14"/>
        <v>1356300</v>
      </c>
      <c r="X27" s="310">
        <f t="shared" si="15"/>
        <v>0</v>
      </c>
      <c r="Y27" s="312"/>
      <c r="Z27" s="311">
        <f t="shared" si="16"/>
        <v>0</v>
      </c>
      <c r="AA27" s="309">
        <f>'План и исполнение'!AG28+'План и исполнение'!T28+'План и исполнение'!L28</f>
        <v>0</v>
      </c>
      <c r="AB27" s="310">
        <f>'План и исполнение'!CW28+'План и исполнение'!DE28+'План и исполнение'!CK28+'План и исполнение'!QY28+'План и исполнение'!KU28+'План и исполнение'!JE28+'План и исполнение'!NK28+'План и исполнение'!MK28+'План и исполнение'!BK28+'План и исполнение'!HK28+'План и исполнение'!FY28+'План и исполнение'!PA28+'План и исполнение'!QM28</f>
        <v>0</v>
      </c>
      <c r="AC27" s="311"/>
      <c r="AD27" s="313">
        <f>'План и исполнение'!VQ28+'План и исполнение'!TK28+'План и исполнение'!SY28+'План и исполнение'!TW28+'План и исполнение'!UM28</f>
        <v>0</v>
      </c>
      <c r="AE27" s="312"/>
      <c r="AF27" s="26">
        <f>'План и исполнение'!C28</f>
        <v>228106865.84999999</v>
      </c>
      <c r="AG27" s="21">
        <f>'План и исполнение'!E28</f>
        <v>47787400</v>
      </c>
      <c r="AH27" s="212">
        <f>'План и исполнение'!AJ28</f>
        <v>14379490.030000001</v>
      </c>
      <c r="AI27" s="20">
        <f>'План и исполнение'!RD28</f>
        <v>165939975.81999999</v>
      </c>
      <c r="AJ27" s="25">
        <f>'План и исполнение'!SH28</f>
        <v>0</v>
      </c>
      <c r="AK27" s="26"/>
      <c r="AL27" s="22">
        <f t="shared" si="17"/>
        <v>201845776.72999999</v>
      </c>
      <c r="AM27" s="23">
        <f t="shared" si="18"/>
        <v>28990600</v>
      </c>
      <c r="AN27" s="22">
        <f t="shared" si="19"/>
        <v>7438751.8600000013</v>
      </c>
      <c r="AO27" s="23">
        <f t="shared" si="20"/>
        <v>165416424.87</v>
      </c>
      <c r="AP27" s="23">
        <f t="shared" si="21"/>
        <v>0</v>
      </c>
      <c r="AQ27" s="22"/>
      <c r="AR27" s="24">
        <f t="shared" si="22"/>
        <v>26261089.120000001</v>
      </c>
      <c r="AS27" s="24">
        <f>'План и исполнение'!Q28+'План и исполнение'!AB28+'План и исполнение'!I28</f>
        <v>18796800</v>
      </c>
      <c r="AT27" s="23">
        <f>'План и исполнение'!QV28+'План и исполнение'!DB28+'План и исполнение'!CT28+'План и исполнение'!CE28+'План и исполнение'!KF28+'План и исполнение'!IV28+'План и исполнение'!MY28+'План и исполнение'!ME28+'План и исполнение'!AY28+'План и исполнение'!GV28+'План и исполнение'!FT28+'План и исполнение'!OF28+'План и исполнение'!QD28</f>
        <v>6940738.1699999999</v>
      </c>
      <c r="AU27" s="22">
        <f>'План и исполнение'!RN28</f>
        <v>523550.95</v>
      </c>
      <c r="AV27" s="23">
        <f>'План и исполнение'!VK28+'План и исполнение'!TG28+'План и исполнение'!SU28+'План и исполнение'!TS28+'План и исполнение'!UH28</f>
        <v>0</v>
      </c>
      <c r="AW27" s="26"/>
      <c r="AX27" s="309">
        <f t="shared" si="23"/>
        <v>26261089.120000001</v>
      </c>
      <c r="AY27" s="309">
        <f t="shared" si="24"/>
        <v>18796800</v>
      </c>
      <c r="AZ27" s="310">
        <f t="shared" si="2"/>
        <v>6940738.1699999999</v>
      </c>
      <c r="BA27" s="311">
        <f t="shared" si="3"/>
        <v>523550.95</v>
      </c>
      <c r="BB27" s="310">
        <f t="shared" si="4"/>
        <v>0</v>
      </c>
      <c r="BC27" s="312"/>
      <c r="BD27" s="311">
        <f t="shared" si="25"/>
        <v>0</v>
      </c>
      <c r="BE27" s="310">
        <f>'План и исполнение'!M28+'План и исполнение'!U28+'План и исполнение'!AH28</f>
        <v>0</v>
      </c>
      <c r="BF27" s="311">
        <f>'План и исполнение'!CX28+'План и исполнение'!DF28+'План и исполнение'!CL28+'План и исполнение'!QZ28+'План и исполнение'!KZ28+'План и исполнение'!JH28+'План и исполнение'!NO28+'План и исполнение'!ML28+'План и исполнение'!BO28+'План и исполнение'!HP28+'План и исполнение'!FZ28+'План и исполнение'!PH28+'План и исполнение'!QP28</f>
        <v>0</v>
      </c>
      <c r="BG27" s="309"/>
      <c r="BH27" s="313">
        <f>'План и исполнение'!VS28+'План и исполнение'!TL28+'План и исполнение'!SZ28+'План и исполнение'!TX28+'План и исполнение'!UN28</f>
        <v>0</v>
      </c>
      <c r="BI27" s="312"/>
      <c r="BK27" s="1587">
        <f t="shared" si="26"/>
        <v>405368.49659000005</v>
      </c>
      <c r="BL27" s="1587">
        <f t="shared" si="27"/>
        <v>374802.41667000001</v>
      </c>
      <c r="BM27" s="1587">
        <f t="shared" si="28"/>
        <v>30566.07992</v>
      </c>
      <c r="BN27" s="1587">
        <f t="shared" si="29"/>
        <v>0</v>
      </c>
      <c r="BO27" s="1621"/>
    </row>
    <row r="28" spans="1:67" ht="21.75" customHeight="1" thickBot="1" x14ac:dyDescent="0.35">
      <c r="A28" s="28" t="s">
        <v>96</v>
      </c>
      <c r="B28" s="29">
        <f>'План и исполнение'!B29</f>
        <v>711390553.40999997</v>
      </c>
      <c r="C28" s="30">
        <f>'План и исполнение'!D29</f>
        <v>128482800</v>
      </c>
      <c r="D28" s="213">
        <f>'План и исполнение'!AI29</f>
        <v>170982191.40999997</v>
      </c>
      <c r="E28" s="29">
        <f>'План и исполнение'!RA29</f>
        <v>336425562</v>
      </c>
      <c r="F28" s="35">
        <f>'План и исполнение'!SG29</f>
        <v>75500000</v>
      </c>
      <c r="G28" s="35"/>
      <c r="H28" s="31">
        <f t="shared" si="5"/>
        <v>496298356.75999999</v>
      </c>
      <c r="I28" s="32">
        <f t="shared" si="6"/>
        <v>70484800</v>
      </c>
      <c r="J28" s="31">
        <f t="shared" si="7"/>
        <v>91296894.759999961</v>
      </c>
      <c r="K28" s="32">
        <f t="shared" si="8"/>
        <v>334516662</v>
      </c>
      <c r="L28" s="32">
        <f t="shared" si="9"/>
        <v>0</v>
      </c>
      <c r="M28" s="31"/>
      <c r="N28" s="33">
        <f t="shared" si="10"/>
        <v>215092196.65000001</v>
      </c>
      <c r="O28" s="32">
        <f>'План и исполнение'!P29+'План и исполнение'!AA29+'План и исполнение'!H29</f>
        <v>57998000</v>
      </c>
      <c r="P28" s="22">
        <f>'План и исполнение'!CA29+'План и исполнение'!CS29+'План и исполнение'!DA29+'План и исполнение'!KA29+'План и исполнение'!MU29+'План и исполнение'!IS29+'План и исполнение'!QU29+'План и исполнение'!MA29+'План и исполнение'!AU29+'План и исполнение'!GQ29+'План и исполнение'!FQ29+'План и исполнение'!NY29+'План и исполнение'!QA29</f>
        <v>79685296.650000006</v>
      </c>
      <c r="Q28" s="33">
        <f>'План и исполнение'!RM29</f>
        <v>1908900</v>
      </c>
      <c r="R28" s="29">
        <f>'План и исполнение'!VI29+'План и исполнение'!TE29+'План и исполнение'!SS29+'План и исполнение'!TQ29+'План и исполнение'!UE29</f>
        <v>75500000</v>
      </c>
      <c r="S28" s="34"/>
      <c r="T28" s="314">
        <f t="shared" si="11"/>
        <v>114228252.2</v>
      </c>
      <c r="U28" s="314">
        <f t="shared" si="12"/>
        <v>54636900</v>
      </c>
      <c r="V28" s="315">
        <f t="shared" si="13"/>
        <v>57682452.200000003</v>
      </c>
      <c r="W28" s="316">
        <f t="shared" si="14"/>
        <v>1908900</v>
      </c>
      <c r="X28" s="315">
        <f t="shared" si="15"/>
        <v>0</v>
      </c>
      <c r="Y28" s="317"/>
      <c r="Z28" s="316">
        <f t="shared" si="16"/>
        <v>100863944.45</v>
      </c>
      <c r="AA28" s="314">
        <f>'План и исполнение'!AG29+'План и исполнение'!T29+'План и исполнение'!L29</f>
        <v>3361100</v>
      </c>
      <c r="AB28" s="315">
        <f>'План и исполнение'!CW29+'План и исполнение'!DE29+'План и исполнение'!CK29+'План и исполнение'!QY29+'План и исполнение'!KU29+'План и исполнение'!JE29+'План и исполнение'!NK29+'План и исполнение'!MK29+'План и исполнение'!BK29+'План и исполнение'!HK29+'План и исполнение'!FY29+'План и исполнение'!PA29+'План и исполнение'!QM29</f>
        <v>22002844.449999999</v>
      </c>
      <c r="AC28" s="316"/>
      <c r="AD28" s="318">
        <f>'План и исполнение'!VQ29+'План и исполнение'!TK29+'План и исполнение'!SY29+'План и исполнение'!TW29+'План и исполнение'!UM29</f>
        <v>75500000</v>
      </c>
      <c r="AE28" s="317"/>
      <c r="AF28" s="35">
        <f>'План и исполнение'!C29</f>
        <v>287746374.81</v>
      </c>
      <c r="AG28" s="30">
        <f>'План и исполнение'!E29</f>
        <v>76333500</v>
      </c>
      <c r="AH28" s="213">
        <f>'План и исполнение'!AJ29</f>
        <v>27423501.460000001</v>
      </c>
      <c r="AI28" s="29">
        <f>'План и исполнение'!RD29</f>
        <v>183239473.34999999</v>
      </c>
      <c r="AJ28" s="34">
        <f>'План и исполнение'!SH29</f>
        <v>749900</v>
      </c>
      <c r="AK28" s="35"/>
      <c r="AL28" s="31">
        <f t="shared" si="17"/>
        <v>241433866.22</v>
      </c>
      <c r="AM28" s="32">
        <f t="shared" si="18"/>
        <v>46913500</v>
      </c>
      <c r="AN28" s="31">
        <f t="shared" si="19"/>
        <v>12034275.270000003</v>
      </c>
      <c r="AO28" s="32">
        <f t="shared" si="20"/>
        <v>182486090.94999999</v>
      </c>
      <c r="AP28" s="32">
        <f t="shared" si="21"/>
        <v>0</v>
      </c>
      <c r="AQ28" s="31"/>
      <c r="AR28" s="33">
        <f t="shared" si="22"/>
        <v>46312508.589999996</v>
      </c>
      <c r="AS28" s="33">
        <f>'План и исполнение'!Q29+'План и исполнение'!AB29+'План и исполнение'!I29</f>
        <v>29420000</v>
      </c>
      <c r="AT28" s="32">
        <f>'План и исполнение'!QV29+'План и исполнение'!DB29+'План и исполнение'!CT29+'План и исполнение'!CE29+'План и исполнение'!KF29+'План и исполнение'!IV29+'План и исполнение'!MY29+'План и исполнение'!ME29+'План и исполнение'!AY29+'План и исполнение'!GV29+'План и исполнение'!FT29+'План и исполнение'!OF29+'План и исполнение'!QD29</f>
        <v>15389226.189999998</v>
      </c>
      <c r="AU28" s="31">
        <f>'План и исполнение'!RN29</f>
        <v>753382.40000000002</v>
      </c>
      <c r="AV28" s="32">
        <f>'План и исполнение'!VK29+'План и исполнение'!TG29+'План и исполнение'!SU29+'План и исполнение'!TS29+'План и исполнение'!UH29</f>
        <v>749900</v>
      </c>
      <c r="AW28" s="35"/>
      <c r="AX28" s="314">
        <f t="shared" si="23"/>
        <v>39431386.689999998</v>
      </c>
      <c r="AY28" s="314">
        <f t="shared" si="24"/>
        <v>27440000</v>
      </c>
      <c r="AZ28" s="315">
        <f t="shared" si="2"/>
        <v>11238004.289999997</v>
      </c>
      <c r="BA28" s="316">
        <f t="shared" si="3"/>
        <v>753382.40000000002</v>
      </c>
      <c r="BB28" s="315">
        <f t="shared" si="4"/>
        <v>0</v>
      </c>
      <c r="BC28" s="317"/>
      <c r="BD28" s="316">
        <f t="shared" si="25"/>
        <v>6881121.9000000004</v>
      </c>
      <c r="BE28" s="315">
        <f>'План и исполнение'!M29+'План и исполнение'!U29+'План и исполнение'!AH29</f>
        <v>1980000</v>
      </c>
      <c r="BF28" s="311">
        <f>'План и исполнение'!CX29+'План и исполнение'!DF29+'План и исполнение'!CL29+'План и исполнение'!QZ29+'План и исполнение'!KZ29+'План и исполнение'!JH29+'План и исполнение'!NO29+'План и исполнение'!ML29+'План и исполнение'!BO29+'План и исполнение'!HP29+'План и исполнение'!FZ29+'План и исполнение'!PH29+'План и исполнение'!QP29</f>
        <v>4151221.9000000004</v>
      </c>
      <c r="BG28" s="314"/>
      <c r="BH28" s="318">
        <f>'План и исполнение'!VS29+'План и исполнение'!TL29+'План и исполнение'!SZ29+'План и исполнение'!TX29+'План и исполнение'!UN29</f>
        <v>749900</v>
      </c>
      <c r="BI28" s="317"/>
      <c r="BK28" s="1587">
        <f t="shared" si="26"/>
        <v>582907.75341</v>
      </c>
      <c r="BL28" s="1587">
        <f t="shared" si="27"/>
        <v>425813.55676000001</v>
      </c>
      <c r="BM28" s="1587">
        <f t="shared" si="28"/>
        <v>59591.352200000001</v>
      </c>
      <c r="BN28" s="1587">
        <f t="shared" si="29"/>
        <v>97502.844450000004</v>
      </c>
      <c r="BO28" s="1621"/>
    </row>
    <row r="29" spans="1:67" ht="21.75" customHeight="1" thickBot="1" x14ac:dyDescent="0.35">
      <c r="A29" s="36" t="s">
        <v>104</v>
      </c>
      <c r="B29" s="37">
        <f t="shared" ref="B29:AW29" si="30">SUM(B11:B28)</f>
        <v>11481886715.9</v>
      </c>
      <c r="C29" s="38">
        <f t="shared" si="30"/>
        <v>2263199080</v>
      </c>
      <c r="D29" s="214">
        <f>SUM(D11:D28)</f>
        <v>3132127265.9000001</v>
      </c>
      <c r="E29" s="37">
        <f t="shared" si="30"/>
        <v>5921060370</v>
      </c>
      <c r="F29" s="37">
        <f t="shared" si="30"/>
        <v>165500000</v>
      </c>
      <c r="G29" s="37">
        <f t="shared" si="30"/>
        <v>0</v>
      </c>
      <c r="H29" s="39">
        <f t="shared" si="30"/>
        <v>9202001496.7600002</v>
      </c>
      <c r="I29" s="37">
        <f>SUM(I11:I28)</f>
        <v>1235846380</v>
      </c>
      <c r="J29" s="38">
        <f>SUM(J11:J28)</f>
        <v>2073897746.76</v>
      </c>
      <c r="K29" s="40">
        <f t="shared" si="30"/>
        <v>5892257370</v>
      </c>
      <c r="L29" s="37">
        <f t="shared" si="30"/>
        <v>0</v>
      </c>
      <c r="M29" s="38">
        <f t="shared" si="30"/>
        <v>0</v>
      </c>
      <c r="N29" s="157">
        <f t="shared" si="30"/>
        <v>2279885219.1400003</v>
      </c>
      <c r="O29" s="38">
        <f t="shared" si="30"/>
        <v>1027352700</v>
      </c>
      <c r="P29" s="157">
        <f>SUM(P11:P28)</f>
        <v>1058229519.14</v>
      </c>
      <c r="Q29" s="38">
        <f t="shared" si="30"/>
        <v>28803000</v>
      </c>
      <c r="R29" s="37">
        <f t="shared" si="30"/>
        <v>165500000</v>
      </c>
      <c r="S29" s="37">
        <f t="shared" si="30"/>
        <v>0</v>
      </c>
      <c r="T29" s="319">
        <f t="shared" ref="T29:AE29" si="31">SUM(T11:T28)</f>
        <v>1508290029.7500002</v>
      </c>
      <c r="U29" s="320">
        <f t="shared" si="31"/>
        <v>867140800</v>
      </c>
      <c r="V29" s="321">
        <f t="shared" si="31"/>
        <v>612346229.74999988</v>
      </c>
      <c r="W29" s="320">
        <f t="shared" si="31"/>
        <v>28803000</v>
      </c>
      <c r="X29" s="321">
        <f t="shared" si="31"/>
        <v>0</v>
      </c>
      <c r="Y29" s="322">
        <f t="shared" si="31"/>
        <v>0</v>
      </c>
      <c r="Z29" s="319">
        <f t="shared" si="31"/>
        <v>771595189.3900001</v>
      </c>
      <c r="AA29" s="320">
        <f t="shared" si="31"/>
        <v>160211900</v>
      </c>
      <c r="AB29" s="321">
        <f t="shared" si="31"/>
        <v>445883289.38999999</v>
      </c>
      <c r="AC29" s="320">
        <f t="shared" si="31"/>
        <v>0</v>
      </c>
      <c r="AD29" s="321">
        <f t="shared" si="31"/>
        <v>165500000</v>
      </c>
      <c r="AE29" s="322">
        <f t="shared" si="31"/>
        <v>0</v>
      </c>
      <c r="AF29" s="37">
        <f t="shared" si="30"/>
        <v>5948836320.0200014</v>
      </c>
      <c r="AG29" s="38">
        <f t="shared" si="30"/>
        <v>1385710475.1300001</v>
      </c>
      <c r="AH29" s="214">
        <f>SUM(AH11:AH28)</f>
        <v>963475898.46000004</v>
      </c>
      <c r="AI29" s="37">
        <f t="shared" si="30"/>
        <v>3583900046.4300003</v>
      </c>
      <c r="AJ29" s="37">
        <f t="shared" si="30"/>
        <v>15749900</v>
      </c>
      <c r="AK29" s="37">
        <f t="shared" si="30"/>
        <v>0</v>
      </c>
      <c r="AL29" s="39">
        <f t="shared" si="30"/>
        <v>4957630970.0500002</v>
      </c>
      <c r="AM29" s="40">
        <f>SUM(AM11:AM28)</f>
        <v>799458604</v>
      </c>
      <c r="AN29" s="39">
        <f>SUM(AN11:AN28)</f>
        <v>586839481.14999998</v>
      </c>
      <c r="AO29" s="40">
        <f t="shared" si="30"/>
        <v>3571332884.9000001</v>
      </c>
      <c r="AP29" s="37">
        <f t="shared" si="30"/>
        <v>0</v>
      </c>
      <c r="AQ29" s="38">
        <f t="shared" si="30"/>
        <v>0</v>
      </c>
      <c r="AR29" s="40">
        <f t="shared" si="30"/>
        <v>991205349.96999991</v>
      </c>
      <c r="AS29" s="39">
        <f t="shared" si="30"/>
        <v>586251871.13</v>
      </c>
      <c r="AT29" s="214">
        <f>SUM(AT11:AT28)</f>
        <v>376636417.31000006</v>
      </c>
      <c r="AU29" s="37">
        <f t="shared" si="30"/>
        <v>12567161.530000001</v>
      </c>
      <c r="AV29" s="37">
        <f t="shared" si="30"/>
        <v>15749900</v>
      </c>
      <c r="AW29" s="37">
        <f t="shared" si="30"/>
        <v>0</v>
      </c>
      <c r="AX29" s="319">
        <f t="shared" ref="AX29:BI29" si="32">SUM(AX11:AX28)</f>
        <v>715722178.63999987</v>
      </c>
      <c r="AY29" s="320">
        <f t="shared" si="32"/>
        <v>465491945.93000001</v>
      </c>
      <c r="AZ29" s="321">
        <f t="shared" si="32"/>
        <v>237663071.18000001</v>
      </c>
      <c r="BA29" s="320">
        <f t="shared" si="32"/>
        <v>12567161.530000001</v>
      </c>
      <c r="BB29" s="321">
        <f t="shared" si="32"/>
        <v>0</v>
      </c>
      <c r="BC29" s="322">
        <f t="shared" si="32"/>
        <v>0</v>
      </c>
      <c r="BD29" s="319">
        <f t="shared" si="32"/>
        <v>275483171.32999992</v>
      </c>
      <c r="BE29" s="320">
        <f t="shared" si="32"/>
        <v>120759925.2</v>
      </c>
      <c r="BF29" s="319">
        <f t="shared" si="32"/>
        <v>138973346.13</v>
      </c>
      <c r="BG29" s="320">
        <f t="shared" si="32"/>
        <v>0</v>
      </c>
      <c r="BH29" s="321">
        <f t="shared" si="32"/>
        <v>15749900</v>
      </c>
      <c r="BI29" s="321">
        <f t="shared" si="32"/>
        <v>0</v>
      </c>
      <c r="BK29" s="1587">
        <f t="shared" si="26"/>
        <v>9218687.6359000001</v>
      </c>
      <c r="BL29" s="1587">
        <f t="shared" si="27"/>
        <v>7966155.1167600006</v>
      </c>
      <c r="BM29" s="1587">
        <f t="shared" si="28"/>
        <v>641149.22974999982</v>
      </c>
      <c r="BN29" s="1587">
        <f t="shared" si="29"/>
        <v>611383.28938999993</v>
      </c>
      <c r="BO29" s="1621"/>
    </row>
    <row r="30" spans="1:67" ht="21.75" customHeight="1" x14ac:dyDescent="0.3">
      <c r="A30" s="41"/>
      <c r="B30" s="41"/>
      <c r="C30" s="42"/>
      <c r="D30" s="41"/>
      <c r="E30" s="42"/>
      <c r="F30" s="41"/>
      <c r="G30" s="41"/>
      <c r="H30" s="43"/>
      <c r="I30" s="44"/>
      <c r="J30" s="43"/>
      <c r="K30" s="44"/>
      <c r="L30" s="46"/>
      <c r="M30" s="45"/>
      <c r="N30" s="46"/>
      <c r="O30" s="47"/>
      <c r="P30" s="758"/>
      <c r="Q30" s="47"/>
      <c r="R30" s="41"/>
      <c r="S30" s="46"/>
      <c r="T30" s="323"/>
      <c r="U30" s="324"/>
      <c r="V30" s="325"/>
      <c r="W30" s="324"/>
      <c r="X30" s="326"/>
      <c r="Y30" s="323"/>
      <c r="Z30" s="323"/>
      <c r="AA30" s="324"/>
      <c r="AB30" s="325"/>
      <c r="AC30" s="324"/>
      <c r="AD30" s="326"/>
      <c r="AE30" s="323"/>
      <c r="AF30" s="41"/>
      <c r="AG30" s="42"/>
      <c r="AH30" s="27"/>
      <c r="AI30" s="41"/>
      <c r="AJ30" s="41"/>
      <c r="AK30" s="41"/>
      <c r="AL30" s="43"/>
      <c r="AM30" s="44"/>
      <c r="AN30" s="43"/>
      <c r="AO30" s="44"/>
      <c r="AP30" s="41"/>
      <c r="AQ30" s="42"/>
      <c r="AR30" s="44"/>
      <c r="AS30" s="43"/>
      <c r="AT30" s="44"/>
      <c r="AU30" s="43"/>
      <c r="AV30" s="41"/>
      <c r="AW30" s="41"/>
      <c r="AX30" s="323"/>
      <c r="AY30" s="324"/>
      <c r="AZ30" s="325"/>
      <c r="BA30" s="324"/>
      <c r="BB30" s="326"/>
      <c r="BC30" s="323"/>
      <c r="BD30" s="323"/>
      <c r="BE30" s="324"/>
      <c r="BF30" s="325"/>
      <c r="BG30" s="324"/>
      <c r="BH30" s="326"/>
      <c r="BI30" s="323"/>
      <c r="BK30" s="1587">
        <f t="shared" si="26"/>
        <v>0</v>
      </c>
      <c r="BL30" s="1587">
        <f t="shared" si="27"/>
        <v>0</v>
      </c>
      <c r="BM30" s="1587">
        <f t="shared" si="28"/>
        <v>0</v>
      </c>
      <c r="BN30" s="1587">
        <f t="shared" si="29"/>
        <v>0</v>
      </c>
      <c r="BO30" s="1621"/>
    </row>
    <row r="31" spans="1:67" ht="21.75" customHeight="1" x14ac:dyDescent="0.3">
      <c r="A31" s="48" t="s">
        <v>5</v>
      </c>
      <c r="B31" s="20">
        <f>'План и исполнение'!B32</f>
        <v>1937884404.54</v>
      </c>
      <c r="C31" s="21">
        <f>'План и исполнение'!D32</f>
        <v>269935900</v>
      </c>
      <c r="D31" s="20">
        <f>'План и исполнение'!AI32</f>
        <v>444905565.54000002</v>
      </c>
      <c r="E31" s="21">
        <f>'План и исполнение'!RA32</f>
        <v>841102939</v>
      </c>
      <c r="F31" s="20">
        <f>'План и исполнение'!SG32</f>
        <v>381940000</v>
      </c>
      <c r="G31" s="20"/>
      <c r="H31" s="22">
        <f t="shared" ref="H31:M32" si="33">B31-N31</f>
        <v>1937884404.54</v>
      </c>
      <c r="I31" s="23">
        <f t="shared" si="33"/>
        <v>269935900</v>
      </c>
      <c r="J31" s="22">
        <f t="shared" si="33"/>
        <v>444905565.54000002</v>
      </c>
      <c r="K31" s="23">
        <f t="shared" si="33"/>
        <v>841102939</v>
      </c>
      <c r="L31" s="23">
        <f t="shared" si="33"/>
        <v>381940000</v>
      </c>
      <c r="M31" s="22">
        <f t="shared" si="33"/>
        <v>0</v>
      </c>
      <c r="N31" s="23"/>
      <c r="O31" s="23"/>
      <c r="P31" s="22"/>
      <c r="Q31" s="24"/>
      <c r="R31" s="20"/>
      <c r="S31" s="23"/>
      <c r="T31" s="310"/>
      <c r="U31" s="311"/>
      <c r="V31" s="310"/>
      <c r="W31" s="311"/>
      <c r="X31" s="313"/>
      <c r="Y31" s="310"/>
      <c r="Z31" s="310"/>
      <c r="AA31" s="311"/>
      <c r="AB31" s="310"/>
      <c r="AC31" s="311"/>
      <c r="AD31" s="313"/>
      <c r="AE31" s="310"/>
      <c r="AF31" s="20">
        <f>'План и исполнение'!C32</f>
        <v>746458374.4799999</v>
      </c>
      <c r="AG31" s="21">
        <f>'План и исполнение'!E32</f>
        <v>172098354</v>
      </c>
      <c r="AH31" s="212">
        <f>'План и исполнение'!AJ32</f>
        <v>52822210.969999999</v>
      </c>
      <c r="AI31" s="20">
        <f>'План и исполнение'!RD32</f>
        <v>463434152.83999997</v>
      </c>
      <c r="AJ31" s="23">
        <f>'План и исполнение'!SH32</f>
        <v>58103656.670000002</v>
      </c>
      <c r="AK31" s="20"/>
      <c r="AL31" s="22">
        <f t="shared" ref="AL31:AP32" si="34">AF31-AR31</f>
        <v>746458374.4799999</v>
      </c>
      <c r="AM31" s="23">
        <f t="shared" si="34"/>
        <v>172098354</v>
      </c>
      <c r="AN31" s="22">
        <f t="shared" si="34"/>
        <v>52822210.969999999</v>
      </c>
      <c r="AO31" s="23">
        <f t="shared" si="34"/>
        <v>463434152.83999997</v>
      </c>
      <c r="AP31" s="23">
        <f t="shared" si="34"/>
        <v>58103656.670000002</v>
      </c>
      <c r="AQ31" s="22"/>
      <c r="AR31" s="23"/>
      <c r="AS31" s="22"/>
      <c r="AT31" s="23"/>
      <c r="AU31" s="22"/>
      <c r="AV31" s="23"/>
      <c r="AW31" s="20"/>
      <c r="AX31" s="310"/>
      <c r="AY31" s="311"/>
      <c r="AZ31" s="310"/>
      <c r="BA31" s="311"/>
      <c r="BB31" s="313"/>
      <c r="BC31" s="310"/>
      <c r="BD31" s="310"/>
      <c r="BE31" s="311"/>
      <c r="BF31" s="310"/>
      <c r="BG31" s="311"/>
      <c r="BH31" s="313"/>
      <c r="BI31" s="310"/>
      <c r="BK31" s="1587">
        <f t="shared" si="26"/>
        <v>1667948.5045399999</v>
      </c>
      <c r="BL31" s="1587">
        <f t="shared" si="27"/>
        <v>1667948.5045399999</v>
      </c>
      <c r="BM31" s="1587">
        <f t="shared" si="28"/>
        <v>0</v>
      </c>
      <c r="BN31" s="1587">
        <f t="shared" si="29"/>
        <v>0</v>
      </c>
      <c r="BO31" s="1621"/>
    </row>
    <row r="32" spans="1:67" ht="21.75" customHeight="1" thickBot="1" x14ac:dyDescent="0.35">
      <c r="A32" s="41" t="s">
        <v>6</v>
      </c>
      <c r="B32" s="20">
        <f>'План и исполнение'!B33</f>
        <v>8684803089.1599998</v>
      </c>
      <c r="C32" s="21">
        <f>'План и исполнение'!D33</f>
        <v>443812226</v>
      </c>
      <c r="D32" s="20">
        <f>'План и исполнение'!AI33</f>
        <v>2828058386.7199998</v>
      </c>
      <c r="E32" s="21">
        <f>'План и исполнение'!RA33</f>
        <v>4505620145</v>
      </c>
      <c r="F32" s="20">
        <f>'План и исполнение'!SG33</f>
        <v>907312331.44000006</v>
      </c>
      <c r="G32" s="20"/>
      <c r="H32" s="22">
        <f t="shared" si="33"/>
        <v>8684803089.1599998</v>
      </c>
      <c r="I32" s="23">
        <f t="shared" si="33"/>
        <v>443812226</v>
      </c>
      <c r="J32" s="22">
        <f t="shared" si="33"/>
        <v>2828058386.7199998</v>
      </c>
      <c r="K32" s="23">
        <f t="shared" si="33"/>
        <v>4505620145</v>
      </c>
      <c r="L32" s="23">
        <f t="shared" si="33"/>
        <v>907312331.44000006</v>
      </c>
      <c r="M32" s="22">
        <f t="shared" si="33"/>
        <v>0</v>
      </c>
      <c r="N32" s="23"/>
      <c r="O32" s="23"/>
      <c r="P32" s="22"/>
      <c r="Q32" s="24"/>
      <c r="R32" s="20"/>
      <c r="S32" s="23"/>
      <c r="T32" s="310"/>
      <c r="U32" s="311"/>
      <c r="V32" s="310"/>
      <c r="W32" s="311"/>
      <c r="X32" s="313"/>
      <c r="Y32" s="310"/>
      <c r="Z32" s="310"/>
      <c r="AA32" s="311"/>
      <c r="AB32" s="310"/>
      <c r="AC32" s="311"/>
      <c r="AD32" s="313"/>
      <c r="AE32" s="310"/>
      <c r="AF32" s="20">
        <f>'План и исполнение'!C33</f>
        <v>3752502761.2600002</v>
      </c>
      <c r="AG32" s="21">
        <f>'План и исполнение'!E33</f>
        <v>235627326</v>
      </c>
      <c r="AH32" s="212">
        <f>'План и исполнение'!AJ33</f>
        <v>803832686.84000015</v>
      </c>
      <c r="AI32" s="20">
        <f>'План и исполнение'!RD33</f>
        <v>2593521320.0100002</v>
      </c>
      <c r="AJ32" s="23">
        <f>'План и исполнение'!SH33</f>
        <v>119521428.41000001</v>
      </c>
      <c r="AK32" s="20"/>
      <c r="AL32" s="22">
        <f t="shared" si="34"/>
        <v>3752502761.2600002</v>
      </c>
      <c r="AM32" s="23">
        <f t="shared" si="34"/>
        <v>235627326</v>
      </c>
      <c r="AN32" s="22">
        <f t="shared" si="34"/>
        <v>803832686.84000015</v>
      </c>
      <c r="AO32" s="23">
        <f t="shared" si="34"/>
        <v>2593521320.0100002</v>
      </c>
      <c r="AP32" s="23">
        <f t="shared" si="34"/>
        <v>119521428.41000001</v>
      </c>
      <c r="AQ32" s="22"/>
      <c r="AR32" s="23"/>
      <c r="AS32" s="22"/>
      <c r="AT32" s="23"/>
      <c r="AU32" s="22"/>
      <c r="AV32" s="23"/>
      <c r="AW32" s="20"/>
      <c r="AX32" s="310"/>
      <c r="AY32" s="311"/>
      <c r="AZ32" s="310"/>
      <c r="BA32" s="311"/>
      <c r="BB32" s="313"/>
      <c r="BC32" s="310"/>
      <c r="BD32" s="310"/>
      <c r="BE32" s="311"/>
      <c r="BF32" s="310"/>
      <c r="BG32" s="311"/>
      <c r="BH32" s="313"/>
      <c r="BI32" s="310"/>
      <c r="BK32" s="1587">
        <f t="shared" si="26"/>
        <v>8240990.8631600002</v>
      </c>
      <c r="BL32" s="1587">
        <f t="shared" si="27"/>
        <v>8240990.8631600002</v>
      </c>
      <c r="BM32" s="1587">
        <f t="shared" si="28"/>
        <v>0</v>
      </c>
      <c r="BN32" s="1587">
        <f t="shared" si="29"/>
        <v>0</v>
      </c>
      <c r="BO32" s="1621"/>
    </row>
    <row r="33" spans="1:67" ht="21.75" customHeight="1" thickBot="1" x14ac:dyDescent="0.35">
      <c r="A33" s="36" t="s">
        <v>7</v>
      </c>
      <c r="B33" s="49">
        <f t="shared" ref="B33:AW33" si="35">SUM(B31:B32)</f>
        <v>10622687493.700001</v>
      </c>
      <c r="C33" s="50">
        <f t="shared" si="35"/>
        <v>713748126</v>
      </c>
      <c r="D33" s="49">
        <f>SUM(D31:D32)</f>
        <v>3272963952.2599998</v>
      </c>
      <c r="E33" s="50">
        <f t="shared" si="35"/>
        <v>5346723084</v>
      </c>
      <c r="F33" s="49">
        <f t="shared" si="35"/>
        <v>1289252331.4400001</v>
      </c>
      <c r="G33" s="49">
        <f t="shared" si="35"/>
        <v>0</v>
      </c>
      <c r="H33" s="50">
        <f t="shared" si="35"/>
        <v>10622687493.700001</v>
      </c>
      <c r="I33" s="49">
        <f>SUM(I31:I32)</f>
        <v>713748126</v>
      </c>
      <c r="J33" s="50">
        <f>SUM(J31:J32)</f>
        <v>3272963952.2599998</v>
      </c>
      <c r="K33" s="49">
        <f t="shared" si="35"/>
        <v>5346723084</v>
      </c>
      <c r="L33" s="49">
        <f t="shared" si="35"/>
        <v>1289252331.4400001</v>
      </c>
      <c r="M33" s="50">
        <f t="shared" si="35"/>
        <v>0</v>
      </c>
      <c r="N33" s="49">
        <f t="shared" si="35"/>
        <v>0</v>
      </c>
      <c r="O33" s="50">
        <f t="shared" si="35"/>
        <v>0</v>
      </c>
      <c r="P33" s="157">
        <f>SUM(P31:P32)</f>
        <v>0</v>
      </c>
      <c r="Q33" s="50">
        <f t="shared" si="35"/>
        <v>0</v>
      </c>
      <c r="R33" s="49">
        <f t="shared" si="35"/>
        <v>0</v>
      </c>
      <c r="S33" s="49">
        <f t="shared" si="35"/>
        <v>0</v>
      </c>
      <c r="T33" s="327">
        <f t="shared" ref="T33:AE33" si="36">SUM(T31:T32)</f>
        <v>0</v>
      </c>
      <c r="U33" s="328">
        <f t="shared" si="36"/>
        <v>0</v>
      </c>
      <c r="V33" s="327">
        <f t="shared" si="36"/>
        <v>0</v>
      </c>
      <c r="W33" s="328">
        <f t="shared" si="36"/>
        <v>0</v>
      </c>
      <c r="X33" s="327">
        <f t="shared" si="36"/>
        <v>0</v>
      </c>
      <c r="Y33" s="327">
        <f t="shared" si="36"/>
        <v>0</v>
      </c>
      <c r="Z33" s="327">
        <f t="shared" si="36"/>
        <v>0</v>
      </c>
      <c r="AA33" s="328">
        <f t="shared" si="36"/>
        <v>0</v>
      </c>
      <c r="AB33" s="327">
        <f t="shared" si="36"/>
        <v>0</v>
      </c>
      <c r="AC33" s="328">
        <f t="shared" si="36"/>
        <v>0</v>
      </c>
      <c r="AD33" s="327">
        <f t="shared" si="36"/>
        <v>0</v>
      </c>
      <c r="AE33" s="327">
        <f t="shared" si="36"/>
        <v>0</v>
      </c>
      <c r="AF33" s="49">
        <f t="shared" si="35"/>
        <v>4498961135.7399998</v>
      </c>
      <c r="AG33" s="50">
        <f t="shared" si="35"/>
        <v>407725680</v>
      </c>
      <c r="AH33" s="215">
        <f>SUM(AH31:AH32)</f>
        <v>856654897.81000018</v>
      </c>
      <c r="AI33" s="157">
        <f t="shared" si="35"/>
        <v>3056955472.8500004</v>
      </c>
      <c r="AJ33" s="49">
        <f t="shared" si="35"/>
        <v>177625085.08000001</v>
      </c>
      <c r="AK33" s="49">
        <f t="shared" si="35"/>
        <v>0</v>
      </c>
      <c r="AL33" s="50">
        <f t="shared" si="35"/>
        <v>4498961135.7399998</v>
      </c>
      <c r="AM33" s="49">
        <f>SUM(AM31:AM32)</f>
        <v>407725680</v>
      </c>
      <c r="AN33" s="50">
        <f>SUM(AN31:AN32)</f>
        <v>856654897.81000018</v>
      </c>
      <c r="AO33" s="49">
        <f t="shared" si="35"/>
        <v>3056955472.8500004</v>
      </c>
      <c r="AP33" s="49">
        <f t="shared" si="35"/>
        <v>177625085.08000001</v>
      </c>
      <c r="AQ33" s="50">
        <f t="shared" si="35"/>
        <v>0</v>
      </c>
      <c r="AR33" s="49">
        <f t="shared" si="35"/>
        <v>0</v>
      </c>
      <c r="AS33" s="50">
        <f t="shared" si="35"/>
        <v>0</v>
      </c>
      <c r="AT33" s="49">
        <f>SUM(AT31:AT32)</f>
        <v>0</v>
      </c>
      <c r="AU33" s="50">
        <f t="shared" si="35"/>
        <v>0</v>
      </c>
      <c r="AV33" s="49">
        <f t="shared" si="35"/>
        <v>0</v>
      </c>
      <c r="AW33" s="49">
        <f t="shared" si="35"/>
        <v>0</v>
      </c>
      <c r="AX33" s="327">
        <f t="shared" ref="AX33:BI33" si="37">SUM(AX31:AX32)</f>
        <v>0</v>
      </c>
      <c r="AY33" s="328">
        <f t="shared" si="37"/>
        <v>0</v>
      </c>
      <c r="AZ33" s="327">
        <f t="shared" si="37"/>
        <v>0</v>
      </c>
      <c r="BA33" s="328">
        <f t="shared" si="37"/>
        <v>0</v>
      </c>
      <c r="BB33" s="327">
        <f t="shared" si="37"/>
        <v>0</v>
      </c>
      <c r="BC33" s="327">
        <f t="shared" si="37"/>
        <v>0</v>
      </c>
      <c r="BD33" s="327">
        <f t="shared" si="37"/>
        <v>0</v>
      </c>
      <c r="BE33" s="328">
        <f t="shared" si="37"/>
        <v>0</v>
      </c>
      <c r="BF33" s="327">
        <f t="shared" si="37"/>
        <v>0</v>
      </c>
      <c r="BG33" s="328">
        <f t="shared" si="37"/>
        <v>0</v>
      </c>
      <c r="BH33" s="327">
        <f t="shared" si="37"/>
        <v>0</v>
      </c>
      <c r="BI33" s="327">
        <f t="shared" si="37"/>
        <v>0</v>
      </c>
      <c r="BK33" s="1587">
        <f t="shared" si="26"/>
        <v>9908939.3677000012</v>
      </c>
      <c r="BL33" s="1587">
        <f t="shared" si="27"/>
        <v>9908939.3677000012</v>
      </c>
      <c r="BM33" s="1587">
        <f t="shared" si="28"/>
        <v>0</v>
      </c>
      <c r="BN33" s="1587">
        <f t="shared" si="29"/>
        <v>0</v>
      </c>
      <c r="BO33" s="1621"/>
    </row>
    <row r="34" spans="1:67" ht="21.75" customHeight="1" x14ac:dyDescent="0.3">
      <c r="A34" s="51"/>
      <c r="B34" s="51"/>
      <c r="C34" s="52"/>
      <c r="D34" s="51"/>
      <c r="E34" s="52"/>
      <c r="F34" s="51"/>
      <c r="G34" s="51"/>
      <c r="H34" s="53"/>
      <c r="I34" s="54"/>
      <c r="J34" s="53"/>
      <c r="K34" s="54"/>
      <c r="L34" s="54"/>
      <c r="M34" s="53"/>
      <c r="N34" s="54"/>
      <c r="O34" s="53"/>
      <c r="P34" s="54"/>
      <c r="Q34" s="53"/>
      <c r="R34" s="51"/>
      <c r="S34" s="54"/>
      <c r="T34" s="329"/>
      <c r="U34" s="330"/>
      <c r="V34" s="329"/>
      <c r="W34" s="330"/>
      <c r="X34" s="331"/>
      <c r="Y34" s="329"/>
      <c r="Z34" s="329"/>
      <c r="AA34" s="330"/>
      <c r="AB34" s="329"/>
      <c r="AC34" s="330"/>
      <c r="AD34" s="331"/>
      <c r="AE34" s="329"/>
      <c r="AF34" s="51"/>
      <c r="AG34" s="52"/>
      <c r="AH34" s="51"/>
      <c r="AI34" s="52"/>
      <c r="AJ34" s="51"/>
      <c r="AK34" s="51"/>
      <c r="AL34" s="53"/>
      <c r="AM34" s="54"/>
      <c r="AN34" s="53"/>
      <c r="AO34" s="54"/>
      <c r="AP34" s="51"/>
      <c r="AQ34" s="52"/>
      <c r="AR34" s="54"/>
      <c r="AS34" s="53"/>
      <c r="AT34" s="54"/>
      <c r="AU34" s="53"/>
      <c r="AV34" s="51"/>
      <c r="AW34" s="51"/>
      <c r="AX34" s="329"/>
      <c r="AY34" s="330"/>
      <c r="AZ34" s="329"/>
      <c r="BA34" s="330"/>
      <c r="BB34" s="331"/>
      <c r="BC34" s="329"/>
      <c r="BD34" s="329"/>
      <c r="BE34" s="330"/>
      <c r="BF34" s="329"/>
      <c r="BG34" s="330"/>
      <c r="BH34" s="331"/>
      <c r="BI34" s="329"/>
      <c r="BK34" s="1587">
        <f t="shared" si="26"/>
        <v>0</v>
      </c>
      <c r="BL34" s="1587">
        <f t="shared" si="27"/>
        <v>0</v>
      </c>
      <c r="BM34" s="1587">
        <f t="shared" si="28"/>
        <v>0</v>
      </c>
      <c r="BN34" s="1587">
        <f t="shared" si="29"/>
        <v>0</v>
      </c>
      <c r="BO34" s="1621"/>
    </row>
    <row r="35" spans="1:67" ht="21.75" customHeight="1" thickBot="1" x14ac:dyDescent="0.35">
      <c r="A35" s="55"/>
      <c r="B35" s="55"/>
      <c r="C35" s="56"/>
      <c r="D35" s="55"/>
      <c r="E35" s="56"/>
      <c r="F35" s="55"/>
      <c r="G35" s="55"/>
      <c r="H35" s="57"/>
      <c r="I35" s="58"/>
      <c r="J35" s="57"/>
      <c r="K35" s="58"/>
      <c r="L35" s="58"/>
      <c r="M35" s="57"/>
      <c r="N35" s="58"/>
      <c r="O35" s="57"/>
      <c r="P35" s="58"/>
      <c r="Q35" s="57"/>
      <c r="R35" s="55"/>
      <c r="S35" s="58"/>
      <c r="T35" s="332"/>
      <c r="U35" s="333"/>
      <c r="V35" s="332"/>
      <c r="W35" s="333"/>
      <c r="X35" s="334"/>
      <c r="Y35" s="332"/>
      <c r="Z35" s="332"/>
      <c r="AA35" s="333"/>
      <c r="AB35" s="332"/>
      <c r="AC35" s="333"/>
      <c r="AD35" s="334"/>
      <c r="AE35" s="332"/>
      <c r="AF35" s="55"/>
      <c r="AG35" s="56"/>
      <c r="AH35" s="55"/>
      <c r="AI35" s="56"/>
      <c r="AJ35" s="55"/>
      <c r="AK35" s="55"/>
      <c r="AL35" s="57"/>
      <c r="AM35" s="58"/>
      <c r="AN35" s="57"/>
      <c r="AO35" s="58"/>
      <c r="AP35" s="55"/>
      <c r="AQ35" s="56"/>
      <c r="AR35" s="58"/>
      <c r="AS35" s="57"/>
      <c r="AT35" s="58"/>
      <c r="AU35" s="57"/>
      <c r="AV35" s="55"/>
      <c r="AW35" s="55"/>
      <c r="AX35" s="332"/>
      <c r="AY35" s="333"/>
      <c r="AZ35" s="332"/>
      <c r="BA35" s="333"/>
      <c r="BB35" s="334"/>
      <c r="BC35" s="332"/>
      <c r="BD35" s="332"/>
      <c r="BE35" s="333"/>
      <c r="BF35" s="332"/>
      <c r="BG35" s="333"/>
      <c r="BH35" s="334"/>
      <c r="BI35" s="332"/>
      <c r="BK35" s="1587">
        <f t="shared" si="26"/>
        <v>0</v>
      </c>
      <c r="BL35" s="1587">
        <f t="shared" si="27"/>
        <v>0</v>
      </c>
      <c r="BM35" s="1587">
        <f t="shared" si="28"/>
        <v>0</v>
      </c>
      <c r="BN35" s="1587">
        <f t="shared" si="29"/>
        <v>0</v>
      </c>
      <c r="BO35" s="1621"/>
    </row>
    <row r="36" spans="1:67" ht="21.75" customHeight="1" thickBot="1" x14ac:dyDescent="0.35">
      <c r="A36" s="36" t="s">
        <v>36</v>
      </c>
      <c r="B36" s="59">
        <f t="shared" ref="B36:AG36" si="38">B29+B33</f>
        <v>22104574209.599998</v>
      </c>
      <c r="C36" s="60">
        <f t="shared" si="38"/>
        <v>2976947206</v>
      </c>
      <c r="D36" s="59">
        <f t="shared" si="38"/>
        <v>6405091218.1599998</v>
      </c>
      <c r="E36" s="60">
        <f t="shared" si="38"/>
        <v>11267783454</v>
      </c>
      <c r="F36" s="59">
        <f t="shared" si="38"/>
        <v>1454752331.4400001</v>
      </c>
      <c r="G36" s="59">
        <f t="shared" si="38"/>
        <v>0</v>
      </c>
      <c r="H36" s="60">
        <f t="shared" si="38"/>
        <v>19824688990.459999</v>
      </c>
      <c r="I36" s="59">
        <f t="shared" si="38"/>
        <v>1949594506</v>
      </c>
      <c r="J36" s="60">
        <f t="shared" si="38"/>
        <v>5346861699.0199995</v>
      </c>
      <c r="K36" s="59">
        <f t="shared" si="38"/>
        <v>11238980454</v>
      </c>
      <c r="L36" s="59">
        <f t="shared" si="38"/>
        <v>1289252331.4400001</v>
      </c>
      <c r="M36" s="60">
        <f t="shared" si="38"/>
        <v>0</v>
      </c>
      <c r="N36" s="59">
        <f t="shared" si="38"/>
        <v>2279885219.1400003</v>
      </c>
      <c r="O36" s="60">
        <f t="shared" si="38"/>
        <v>1027352700</v>
      </c>
      <c r="P36" s="59">
        <f t="shared" si="38"/>
        <v>1058229519.14</v>
      </c>
      <c r="Q36" s="60">
        <f t="shared" si="38"/>
        <v>28803000</v>
      </c>
      <c r="R36" s="59">
        <f t="shared" si="38"/>
        <v>165500000</v>
      </c>
      <c r="S36" s="59">
        <f t="shared" si="38"/>
        <v>0</v>
      </c>
      <c r="T36" s="335">
        <f t="shared" si="38"/>
        <v>1508290029.7500002</v>
      </c>
      <c r="U36" s="336">
        <f t="shared" si="38"/>
        <v>867140800</v>
      </c>
      <c r="V36" s="335">
        <f t="shared" si="38"/>
        <v>612346229.74999988</v>
      </c>
      <c r="W36" s="336">
        <f t="shared" si="38"/>
        <v>28803000</v>
      </c>
      <c r="X36" s="335">
        <f t="shared" si="38"/>
        <v>0</v>
      </c>
      <c r="Y36" s="335">
        <f t="shared" si="38"/>
        <v>0</v>
      </c>
      <c r="Z36" s="335">
        <f t="shared" si="38"/>
        <v>771595189.3900001</v>
      </c>
      <c r="AA36" s="336">
        <f t="shared" si="38"/>
        <v>160211900</v>
      </c>
      <c r="AB36" s="335">
        <f t="shared" si="38"/>
        <v>445883289.38999999</v>
      </c>
      <c r="AC36" s="336">
        <f t="shared" si="38"/>
        <v>0</v>
      </c>
      <c r="AD36" s="335">
        <f t="shared" si="38"/>
        <v>165500000</v>
      </c>
      <c r="AE36" s="335">
        <f t="shared" si="38"/>
        <v>0</v>
      </c>
      <c r="AF36" s="59">
        <f t="shared" si="38"/>
        <v>10447797455.760002</v>
      </c>
      <c r="AG36" s="60">
        <f t="shared" si="38"/>
        <v>1793436155.1300001</v>
      </c>
      <c r="AH36" s="59">
        <f t="shared" ref="AH36:BI36" si="39">AH29+AH33</f>
        <v>1820130796.2700002</v>
      </c>
      <c r="AI36" s="60">
        <f t="shared" si="39"/>
        <v>6640855519.2800007</v>
      </c>
      <c r="AJ36" s="59">
        <f t="shared" si="39"/>
        <v>193374985.08000001</v>
      </c>
      <c r="AK36" s="59">
        <f t="shared" si="39"/>
        <v>0</v>
      </c>
      <c r="AL36" s="60">
        <f t="shared" si="39"/>
        <v>9456592105.7900009</v>
      </c>
      <c r="AM36" s="59">
        <f t="shared" si="39"/>
        <v>1207184284</v>
      </c>
      <c r="AN36" s="60">
        <f t="shared" si="39"/>
        <v>1443494378.96</v>
      </c>
      <c r="AO36" s="59">
        <f t="shared" si="39"/>
        <v>6628288357.75</v>
      </c>
      <c r="AP36" s="59">
        <f t="shared" si="39"/>
        <v>177625085.08000001</v>
      </c>
      <c r="AQ36" s="60">
        <f t="shared" si="39"/>
        <v>0</v>
      </c>
      <c r="AR36" s="59">
        <f t="shared" si="39"/>
        <v>991205349.96999991</v>
      </c>
      <c r="AS36" s="60">
        <f t="shared" si="39"/>
        <v>586251871.13</v>
      </c>
      <c r="AT36" s="59">
        <f t="shared" si="39"/>
        <v>376636417.31000006</v>
      </c>
      <c r="AU36" s="60">
        <f t="shared" si="39"/>
        <v>12567161.530000001</v>
      </c>
      <c r="AV36" s="59">
        <f t="shared" si="39"/>
        <v>15749900</v>
      </c>
      <c r="AW36" s="59">
        <f t="shared" si="39"/>
        <v>0</v>
      </c>
      <c r="AX36" s="335">
        <f t="shared" si="39"/>
        <v>715722178.63999987</v>
      </c>
      <c r="AY36" s="336">
        <f t="shared" si="39"/>
        <v>465491945.93000001</v>
      </c>
      <c r="AZ36" s="335">
        <f t="shared" si="39"/>
        <v>237663071.18000001</v>
      </c>
      <c r="BA36" s="336">
        <f t="shared" si="39"/>
        <v>12567161.530000001</v>
      </c>
      <c r="BB36" s="335">
        <f t="shared" si="39"/>
        <v>0</v>
      </c>
      <c r="BC36" s="335">
        <f t="shared" si="39"/>
        <v>0</v>
      </c>
      <c r="BD36" s="335">
        <f t="shared" si="39"/>
        <v>275483171.32999992</v>
      </c>
      <c r="BE36" s="336">
        <f t="shared" si="39"/>
        <v>120759925.2</v>
      </c>
      <c r="BF36" s="335">
        <f t="shared" si="39"/>
        <v>138973346.13</v>
      </c>
      <c r="BG36" s="336">
        <f t="shared" si="39"/>
        <v>0</v>
      </c>
      <c r="BH36" s="335">
        <f t="shared" si="39"/>
        <v>15749900</v>
      </c>
      <c r="BI36" s="335">
        <f t="shared" si="39"/>
        <v>0</v>
      </c>
      <c r="BK36" s="1587">
        <f t="shared" si="26"/>
        <v>19127627.003599998</v>
      </c>
      <c r="BL36" s="1587">
        <f t="shared" si="27"/>
        <v>17875094.48446</v>
      </c>
      <c r="BM36" s="1587">
        <f t="shared" si="28"/>
        <v>641149.22974999982</v>
      </c>
      <c r="BN36" s="1587">
        <f t="shared" si="29"/>
        <v>611383.28938999993</v>
      </c>
      <c r="BO36" s="1621"/>
    </row>
    <row r="37" spans="1:67" ht="15.6" x14ac:dyDescent="0.3">
      <c r="B37" s="61">
        <f>B36-C36-E36-D36-G36-F36</f>
        <v>0</v>
      </c>
      <c r="E37" s="61"/>
      <c r="H37" s="61">
        <f>H36-I36-K36-J36-M36-L36</f>
        <v>0</v>
      </c>
      <c r="K37" s="61"/>
      <c r="N37" s="61">
        <f>N36-O36-Q36-P36-S36-R36</f>
        <v>3.5762786865234375E-7</v>
      </c>
      <c r="Q37" s="61"/>
      <c r="Z37" s="357">
        <f>SUM(AA37:AE37)</f>
        <v>0</v>
      </c>
      <c r="AA37" s="357">
        <f>AA36-'План и исполнение'!D47</f>
        <v>0</v>
      </c>
      <c r="AB37" s="357">
        <f>AB36-'План и исполнение'!AI47</f>
        <v>0</v>
      </c>
      <c r="AC37" s="357">
        <f>AC36-'План и исполнение'!RA47</f>
        <v>0</v>
      </c>
      <c r="AD37" s="357">
        <f>AD36-'План и исполнение'!SG47</f>
        <v>0</v>
      </c>
      <c r="AE37" s="357"/>
      <c r="AF37" s="61">
        <f>AF36-AG36-AI36-AH36-AK36-AJ36</f>
        <v>0</v>
      </c>
      <c r="AI37" s="61"/>
      <c r="AL37" s="61">
        <f>AL36-AM36-AO36-AN36-AQ36-AP36</f>
        <v>8.6426734924316406E-7</v>
      </c>
      <c r="AO37" s="61"/>
      <c r="AR37" s="61">
        <f>AR36-AS36-AU36-AT36-AW36-AV36</f>
        <v>-1.1920928955078125E-7</v>
      </c>
      <c r="AU37" s="61"/>
      <c r="BD37" s="357">
        <f>SUM(BE37:BI37)</f>
        <v>0</v>
      </c>
      <c r="BE37" s="357">
        <f>BE36-'План и исполнение'!E47</f>
        <v>0</v>
      </c>
      <c r="BF37" s="357">
        <f>BF36-'План и исполнение'!AJ47</f>
        <v>0</v>
      </c>
      <c r="BG37" s="357">
        <f>BG36-'План и исполнение'!RD47</f>
        <v>0</v>
      </c>
      <c r="BH37" s="357">
        <f>BH36-'План и исполнение'!SH47</f>
        <v>0</v>
      </c>
      <c r="BI37" s="357"/>
      <c r="BK37" s="1620">
        <f>SUM(D36:F36)/1000-BK36</f>
        <v>0</v>
      </c>
      <c r="BL37" s="1620">
        <f>SUM(J36:L36)/1000-BL36</f>
        <v>0</v>
      </c>
      <c r="BM37" s="1620">
        <f>SUM(V36:X36)/1000-BM36</f>
        <v>0</v>
      </c>
      <c r="BN37" s="1620">
        <f>SUM(AB36:AD36)/1000-BN36</f>
        <v>0</v>
      </c>
    </row>
    <row r="38" spans="1:67" s="85" customFormat="1" x14ac:dyDescent="0.25">
      <c r="B38" s="445"/>
      <c r="E38" s="761"/>
      <c r="H38" s="445">
        <f>H36-'План и исполнение'!B45-'План и исполнение'!B44</f>
        <v>0</v>
      </c>
      <c r="N38" s="445">
        <f>N36-'План и исполнение'!B46</f>
        <v>0</v>
      </c>
      <c r="AF38" s="445"/>
      <c r="AL38" s="445">
        <f>AL36-'План и исполнение'!C45-'План и исполнение'!C44</f>
        <v>0</v>
      </c>
      <c r="AR38" s="445">
        <f>AR36-'План и исполнение'!C46</f>
        <v>0</v>
      </c>
    </row>
    <row r="39" spans="1:67" ht="21" customHeight="1" x14ac:dyDescent="0.25">
      <c r="A39" s="62" t="s">
        <v>39</v>
      </c>
      <c r="B39" s="63"/>
      <c r="C39" s="63"/>
      <c r="D39" s="63"/>
      <c r="E39" s="63"/>
      <c r="F39" s="63"/>
      <c r="G39" s="63"/>
      <c r="H39" s="63"/>
      <c r="I39" s="64"/>
      <c r="J39" s="64"/>
      <c r="K39" s="64"/>
      <c r="L39" s="64"/>
      <c r="M39" s="64"/>
      <c r="N39" s="65">
        <f>'План и исполнение'!H37</f>
        <v>621519600</v>
      </c>
      <c r="O39" s="66"/>
      <c r="P39" s="66"/>
      <c r="Q39" s="66"/>
      <c r="R39" s="66"/>
      <c r="S39" s="66"/>
      <c r="T39" s="66"/>
      <c r="U39" s="66"/>
      <c r="V39" s="66"/>
      <c r="W39" s="66"/>
      <c r="X39" s="66"/>
      <c r="Y39" s="66"/>
      <c r="Z39" s="66"/>
      <c r="AA39" s="66"/>
      <c r="AB39" s="66"/>
      <c r="AC39" s="66"/>
      <c r="AD39" s="66"/>
      <c r="AE39" s="66"/>
      <c r="AF39" s="67"/>
      <c r="AG39" s="67"/>
      <c r="AH39" s="67"/>
      <c r="AI39" s="67"/>
      <c r="AJ39" s="67"/>
      <c r="AK39" s="67"/>
      <c r="AL39" s="64"/>
      <c r="AM39" s="64"/>
      <c r="AN39" s="64"/>
      <c r="AO39" s="64"/>
      <c r="AP39" s="64"/>
      <c r="AQ39" s="64"/>
      <c r="AR39" s="65">
        <f>'План и исполнение'!I37</f>
        <v>353468063.85000002</v>
      </c>
      <c r="AS39" s="63"/>
      <c r="AT39" s="63"/>
      <c r="AU39" s="63"/>
      <c r="AV39" s="63"/>
      <c r="AW39" s="63"/>
      <c r="AX39" s="63"/>
      <c r="AY39" s="63"/>
      <c r="AZ39" s="63"/>
      <c r="BA39" s="63"/>
      <c r="BB39" s="63"/>
      <c r="BC39" s="63"/>
      <c r="BD39" s="63"/>
      <c r="BE39" s="63"/>
      <c r="BF39" s="63"/>
      <c r="BG39" s="63"/>
      <c r="BH39" s="63"/>
      <c r="BI39" s="63"/>
    </row>
    <row r="40" spans="1:67" ht="21" customHeight="1" x14ac:dyDescent="0.25">
      <c r="A40" s="62" t="s">
        <v>114</v>
      </c>
      <c r="B40" s="63"/>
      <c r="C40" s="63"/>
      <c r="D40" s="63"/>
      <c r="E40" s="63"/>
      <c r="F40" s="63"/>
      <c r="G40" s="63"/>
      <c r="H40" s="63"/>
      <c r="I40" s="64"/>
      <c r="J40" s="64"/>
      <c r="K40" s="64"/>
      <c r="L40" s="64"/>
      <c r="M40" s="64"/>
      <c r="N40" s="65">
        <f>'План и исполнение'!P37</f>
        <v>394333100</v>
      </c>
      <c r="O40" s="66"/>
      <c r="P40" s="66"/>
      <c r="Q40" s="66"/>
      <c r="R40" s="66"/>
      <c r="S40" s="66"/>
      <c r="T40" s="66"/>
      <c r="U40" s="66"/>
      <c r="V40" s="66"/>
      <c r="W40" s="66"/>
      <c r="X40" s="66"/>
      <c r="Y40" s="66"/>
      <c r="Z40" s="66"/>
      <c r="AA40" s="66"/>
      <c r="AB40" s="66"/>
      <c r="AC40" s="66"/>
      <c r="AD40" s="66"/>
      <c r="AE40" s="66"/>
      <c r="AF40" s="67"/>
      <c r="AG40" s="67"/>
      <c r="AH40" s="67"/>
      <c r="AI40" s="67"/>
      <c r="AJ40" s="67"/>
      <c r="AK40" s="67"/>
      <c r="AL40" s="64"/>
      <c r="AM40" s="64"/>
      <c r="AN40" s="64"/>
      <c r="AO40" s="64"/>
      <c r="AP40" s="64"/>
      <c r="AQ40" s="64"/>
      <c r="AR40" s="65">
        <f>'План и исполнение'!Q37</f>
        <v>221475057.28</v>
      </c>
      <c r="AS40" s="63"/>
      <c r="AT40" s="63"/>
      <c r="AU40" s="70"/>
      <c r="AV40" s="70"/>
      <c r="AW40" s="70"/>
      <c r="AX40" s="70"/>
      <c r="AY40" s="70"/>
      <c r="AZ40" s="70"/>
      <c r="BA40" s="70"/>
      <c r="BB40" s="70"/>
      <c r="BC40" s="70"/>
      <c r="BD40" s="70"/>
      <c r="BE40" s="70"/>
      <c r="BF40" s="70"/>
      <c r="BG40" s="70"/>
      <c r="BH40" s="70"/>
      <c r="BI40" s="70"/>
    </row>
    <row r="41" spans="1:67" ht="21" customHeight="1" x14ac:dyDescent="0.25">
      <c r="A41" s="74" t="s">
        <v>27</v>
      </c>
      <c r="B41" s="70"/>
      <c r="C41" s="70"/>
      <c r="D41" s="70"/>
      <c r="E41" s="70"/>
      <c r="F41" s="70"/>
      <c r="G41" s="70"/>
      <c r="H41" s="70"/>
      <c r="I41" s="68"/>
      <c r="J41" s="68"/>
      <c r="K41" s="68"/>
      <c r="L41" s="68"/>
      <c r="M41" s="68"/>
      <c r="N41" s="69">
        <f>'План и исполнение'!AA37</f>
        <v>11500000</v>
      </c>
      <c r="O41" s="75"/>
      <c r="P41" s="75"/>
      <c r="Q41" s="75"/>
      <c r="R41" s="75"/>
      <c r="S41" s="75"/>
      <c r="T41" s="75"/>
      <c r="U41" s="75"/>
      <c r="V41" s="75"/>
      <c r="W41" s="75"/>
      <c r="X41" s="75"/>
      <c r="Y41" s="75"/>
      <c r="Z41" s="75"/>
      <c r="AA41" s="75"/>
      <c r="AB41" s="75"/>
      <c r="AC41" s="75"/>
      <c r="AD41" s="75"/>
      <c r="AE41" s="75"/>
      <c r="AF41" s="76"/>
      <c r="AG41" s="76"/>
      <c r="AH41" s="76"/>
      <c r="AI41" s="76"/>
      <c r="AJ41" s="76"/>
      <c r="AK41" s="76"/>
      <c r="AL41" s="68"/>
      <c r="AM41" s="68"/>
      <c r="AN41" s="68"/>
      <c r="AO41" s="68"/>
      <c r="AP41" s="68"/>
      <c r="AQ41" s="68"/>
      <c r="AR41" s="69">
        <f>'План и исполнение'!AB37</f>
        <v>11308750</v>
      </c>
      <c r="AS41" s="63"/>
      <c r="AT41" s="63"/>
      <c r="AU41" s="63"/>
      <c r="AV41" s="63"/>
      <c r="AW41" s="63"/>
      <c r="AX41" s="63"/>
      <c r="AY41" s="63"/>
      <c r="AZ41" s="63"/>
      <c r="BA41" s="63"/>
      <c r="BB41" s="63"/>
      <c r="BC41" s="63"/>
      <c r="BD41" s="63"/>
      <c r="BE41" s="63"/>
      <c r="BF41" s="63"/>
      <c r="BG41" s="63"/>
      <c r="BH41" s="63"/>
      <c r="BI41" s="63"/>
    </row>
    <row r="42" spans="1:67" ht="21" customHeight="1" x14ac:dyDescent="0.25">
      <c r="A42" s="74" t="s">
        <v>10</v>
      </c>
      <c r="B42" s="70"/>
      <c r="C42" s="70"/>
      <c r="D42" s="70"/>
      <c r="E42" s="70"/>
      <c r="F42" s="70"/>
      <c r="G42" s="70"/>
      <c r="H42" s="70"/>
      <c r="I42" s="68"/>
      <c r="J42" s="68"/>
      <c r="K42" s="68"/>
      <c r="L42" s="68"/>
      <c r="M42" s="68"/>
      <c r="N42" s="69">
        <f>'План и исполнение'!CA37</f>
        <v>146598158.03</v>
      </c>
      <c r="O42" s="75"/>
      <c r="P42" s="75"/>
      <c r="Q42" s="75"/>
      <c r="R42" s="75"/>
      <c r="S42" s="75"/>
      <c r="T42" s="75"/>
      <c r="U42" s="75"/>
      <c r="V42" s="75"/>
      <c r="W42" s="75"/>
      <c r="X42" s="75"/>
      <c r="Y42" s="75"/>
      <c r="Z42" s="75"/>
      <c r="AA42" s="75"/>
      <c r="AB42" s="75"/>
      <c r="AC42" s="75"/>
      <c r="AD42" s="75"/>
      <c r="AE42" s="75"/>
      <c r="AF42" s="76"/>
      <c r="AG42" s="76"/>
      <c r="AH42" s="76"/>
      <c r="AI42" s="76"/>
      <c r="AJ42" s="76"/>
      <c r="AK42" s="76"/>
      <c r="AL42" s="68"/>
      <c r="AM42" s="68"/>
      <c r="AN42" s="68"/>
      <c r="AO42" s="68"/>
      <c r="AP42" s="68"/>
      <c r="AQ42" s="68"/>
      <c r="AR42" s="69">
        <f>'План и исполнение'!CE37</f>
        <v>25696811.099999998</v>
      </c>
      <c r="AS42" s="70"/>
      <c r="AT42" s="70"/>
      <c r="AU42" s="63"/>
      <c r="AV42" s="63"/>
      <c r="AW42" s="63"/>
      <c r="AX42" s="63"/>
      <c r="AY42" s="63"/>
      <c r="AZ42" s="63"/>
      <c r="BA42" s="63"/>
      <c r="BB42" s="63"/>
      <c r="BC42" s="63"/>
      <c r="BD42" s="63"/>
      <c r="BE42" s="63"/>
      <c r="BF42" s="63"/>
      <c r="BG42" s="63"/>
      <c r="BH42" s="63"/>
      <c r="BI42" s="63"/>
    </row>
    <row r="43" spans="1:67" ht="21" customHeight="1" x14ac:dyDescent="0.25">
      <c r="A43" s="74" t="s">
        <v>285</v>
      </c>
      <c r="B43" s="70"/>
      <c r="C43" s="70"/>
      <c r="D43" s="70"/>
      <c r="E43" s="70"/>
      <c r="F43" s="70"/>
      <c r="G43" s="70"/>
      <c r="H43" s="70"/>
      <c r="I43" s="68"/>
      <c r="J43" s="68"/>
      <c r="K43" s="68"/>
      <c r="L43" s="68"/>
      <c r="M43" s="68"/>
      <c r="N43" s="69">
        <f>'План и исполнение'!AU37</f>
        <v>63679506.950000003</v>
      </c>
      <c r="O43" s="75"/>
      <c r="P43" s="75"/>
      <c r="Q43" s="75"/>
      <c r="R43" s="75"/>
      <c r="S43" s="75"/>
      <c r="T43" s="75"/>
      <c r="U43" s="75"/>
      <c r="V43" s="75"/>
      <c r="W43" s="75"/>
      <c r="X43" s="75"/>
      <c r="Y43" s="75"/>
      <c r="Z43" s="75"/>
      <c r="AA43" s="75"/>
      <c r="AB43" s="75"/>
      <c r="AC43" s="75"/>
      <c r="AD43" s="75"/>
      <c r="AE43" s="75"/>
      <c r="AF43" s="76"/>
      <c r="AG43" s="76"/>
      <c r="AH43" s="76"/>
      <c r="AI43" s="76"/>
      <c r="AJ43" s="76"/>
      <c r="AK43" s="76"/>
      <c r="AL43" s="68"/>
      <c r="AM43" s="68"/>
      <c r="AN43" s="68"/>
      <c r="AO43" s="68"/>
      <c r="AP43" s="68"/>
      <c r="AQ43" s="68"/>
      <c r="AR43" s="69">
        <f>'План и исполнение'!AY37</f>
        <v>23548313.280000001</v>
      </c>
      <c r="AS43" s="70"/>
      <c r="AT43" s="70"/>
      <c r="AU43" s="63"/>
      <c r="AV43" s="63"/>
      <c r="AW43" s="63"/>
      <c r="AX43" s="63"/>
      <c r="AY43" s="63"/>
      <c r="AZ43" s="63"/>
      <c r="BA43" s="63"/>
      <c r="BB43" s="63"/>
      <c r="BC43" s="63"/>
      <c r="BD43" s="63"/>
      <c r="BE43" s="63"/>
      <c r="BF43" s="63"/>
      <c r="BG43" s="63"/>
      <c r="BH43" s="63"/>
      <c r="BI43" s="63"/>
    </row>
    <row r="44" spans="1:67" ht="33" customHeight="1" x14ac:dyDescent="0.25">
      <c r="A44" s="1840" t="s">
        <v>166</v>
      </c>
      <c r="B44" s="1840"/>
      <c r="C44" s="1840"/>
      <c r="D44" s="1840"/>
      <c r="E44" s="1840"/>
      <c r="F44" s="1840"/>
      <c r="G44" s="1840"/>
      <c r="H44" s="1840"/>
      <c r="I44" s="1840"/>
      <c r="J44" s="1840"/>
      <c r="K44" s="1840"/>
      <c r="L44" s="68"/>
      <c r="M44" s="68"/>
      <c r="N44" s="69">
        <f>'План и исполнение'!CS37</f>
        <v>105147261.73999999</v>
      </c>
      <c r="O44" s="75"/>
      <c r="P44" s="75"/>
      <c r="Q44" s="75"/>
      <c r="R44" s="75"/>
      <c r="S44" s="75"/>
      <c r="T44" s="75"/>
      <c r="U44" s="75"/>
      <c r="V44" s="75"/>
      <c r="W44" s="75"/>
      <c r="X44" s="75"/>
      <c r="Y44" s="75"/>
      <c r="Z44" s="75"/>
      <c r="AA44" s="75"/>
      <c r="AB44" s="75"/>
      <c r="AC44" s="75"/>
      <c r="AD44" s="75"/>
      <c r="AE44" s="75"/>
      <c r="AF44" s="76"/>
      <c r="AG44" s="76"/>
      <c r="AH44" s="76"/>
      <c r="AI44" s="76"/>
      <c r="AJ44" s="76"/>
      <c r="AK44" s="76"/>
      <c r="AL44" s="68"/>
      <c r="AM44" s="68"/>
      <c r="AN44" s="68"/>
      <c r="AO44" s="68"/>
      <c r="AP44" s="68"/>
      <c r="AQ44" s="68"/>
      <c r="AR44" s="69">
        <f>'План и исполнение'!CT37</f>
        <v>47307135.049999997</v>
      </c>
      <c r="AS44" s="70"/>
      <c r="AT44" s="70"/>
      <c r="AU44" s="70"/>
      <c r="AV44" s="63"/>
      <c r="AW44" s="63"/>
      <c r="AX44" s="63"/>
      <c r="AY44" s="63"/>
      <c r="AZ44" s="63"/>
      <c r="BA44" s="63"/>
      <c r="BB44" s="63"/>
      <c r="BC44" s="63"/>
      <c r="BD44" s="63"/>
      <c r="BE44" s="63"/>
      <c r="BF44" s="63"/>
      <c r="BG44" s="63"/>
      <c r="BH44" s="63"/>
      <c r="BI44" s="63"/>
    </row>
    <row r="45" spans="1:67" ht="21" customHeight="1" x14ac:dyDescent="0.25">
      <c r="A45" s="74" t="s">
        <v>8</v>
      </c>
      <c r="B45" s="70"/>
      <c r="C45" s="70"/>
      <c r="D45" s="70"/>
      <c r="E45" s="70"/>
      <c r="F45" s="70"/>
      <c r="G45" s="70"/>
      <c r="H45" s="70"/>
      <c r="I45" s="68"/>
      <c r="J45" s="68"/>
      <c r="K45" s="68"/>
      <c r="L45" s="68"/>
      <c r="M45" s="68"/>
      <c r="N45" s="69">
        <f>'План и исполнение'!DA37</f>
        <v>30886764.379999999</v>
      </c>
      <c r="O45" s="75"/>
      <c r="P45" s="75"/>
      <c r="Q45" s="75"/>
      <c r="R45" s="75"/>
      <c r="S45" s="75"/>
      <c r="T45" s="75"/>
      <c r="U45" s="75"/>
      <c r="V45" s="75"/>
      <c r="W45" s="75"/>
      <c r="X45" s="75"/>
      <c r="Y45" s="75"/>
      <c r="Z45" s="75"/>
      <c r="AA45" s="75"/>
      <c r="AB45" s="75"/>
      <c r="AC45" s="75"/>
      <c r="AD45" s="75"/>
      <c r="AE45" s="75"/>
      <c r="AF45" s="76"/>
      <c r="AG45" s="76"/>
      <c r="AH45" s="76"/>
      <c r="AI45" s="76"/>
      <c r="AJ45" s="76"/>
      <c r="AK45" s="76"/>
      <c r="AL45" s="68"/>
      <c r="AM45" s="68"/>
      <c r="AN45" s="68"/>
      <c r="AO45" s="68"/>
      <c r="AP45" s="64"/>
      <c r="AQ45" s="64"/>
      <c r="AR45" s="65">
        <f>'План и исполнение'!DB37</f>
        <v>10095658.6</v>
      </c>
      <c r="AS45" s="63"/>
      <c r="AT45" s="63"/>
      <c r="AU45" s="63"/>
      <c r="AV45" s="63"/>
      <c r="AW45" s="70"/>
      <c r="AX45" s="70"/>
      <c r="AY45" s="70"/>
      <c r="AZ45" s="70"/>
      <c r="BA45" s="70"/>
      <c r="BB45" s="70"/>
      <c r="BC45" s="70"/>
      <c r="BD45" s="70"/>
      <c r="BE45" s="70"/>
      <c r="BF45" s="70"/>
      <c r="BG45" s="70"/>
      <c r="BH45" s="70"/>
      <c r="BI45" s="70"/>
    </row>
    <row r="46" spans="1:67" ht="21" customHeight="1" x14ac:dyDescent="0.25">
      <c r="A46" s="74" t="s">
        <v>570</v>
      </c>
      <c r="B46" s="70"/>
      <c r="C46" s="70"/>
      <c r="D46" s="70"/>
      <c r="E46" s="70"/>
      <c r="F46" s="70"/>
      <c r="G46" s="70"/>
      <c r="H46" s="70"/>
      <c r="I46" s="68"/>
      <c r="J46" s="68"/>
      <c r="K46" s="68"/>
      <c r="L46" s="68"/>
      <c r="M46" s="68"/>
      <c r="N46" s="69">
        <f>'План и исполнение'!GQ37</f>
        <v>17370439.550000004</v>
      </c>
      <c r="O46" s="75"/>
      <c r="P46" s="75"/>
      <c r="Q46" s="75"/>
      <c r="R46" s="75"/>
      <c r="S46" s="75"/>
      <c r="T46" s="75"/>
      <c r="U46" s="75"/>
      <c r="V46" s="75"/>
      <c r="W46" s="75"/>
      <c r="X46" s="75"/>
      <c r="Y46" s="75"/>
      <c r="Z46" s="75"/>
      <c r="AA46" s="75"/>
      <c r="AB46" s="75"/>
      <c r="AC46" s="75"/>
      <c r="AD46" s="75"/>
      <c r="AE46" s="75"/>
      <c r="AF46" s="76"/>
      <c r="AG46" s="76"/>
      <c r="AH46" s="76"/>
      <c r="AI46" s="76"/>
      <c r="AJ46" s="76"/>
      <c r="AK46" s="76"/>
      <c r="AL46" s="68"/>
      <c r="AM46" s="68"/>
      <c r="AN46" s="68"/>
      <c r="AO46" s="68"/>
      <c r="AP46" s="64"/>
      <c r="AQ46" s="64"/>
      <c r="AR46" s="65">
        <f>'План и исполнение'!GV37</f>
        <v>2964331.1799999997</v>
      </c>
      <c r="AS46" s="63"/>
      <c r="AT46" s="63"/>
      <c r="AU46" s="63"/>
      <c r="AV46" s="63"/>
      <c r="AW46" s="70"/>
      <c r="AX46" s="70"/>
      <c r="AY46" s="70"/>
      <c r="AZ46" s="70"/>
      <c r="BA46" s="70"/>
      <c r="BB46" s="70"/>
      <c r="BC46" s="70"/>
      <c r="BD46" s="70"/>
      <c r="BE46" s="70"/>
      <c r="BF46" s="70"/>
      <c r="BG46" s="70"/>
      <c r="BH46" s="70"/>
      <c r="BI46" s="70"/>
    </row>
    <row r="47" spans="1:67" ht="21" customHeight="1" x14ac:dyDescent="0.25">
      <c r="A47" s="62" t="s">
        <v>249</v>
      </c>
      <c r="B47" s="63"/>
      <c r="C47" s="63"/>
      <c r="D47" s="63"/>
      <c r="E47" s="63"/>
      <c r="F47" s="63"/>
      <c r="G47" s="63"/>
      <c r="H47" s="63"/>
      <c r="I47" s="64"/>
      <c r="J47" s="64"/>
      <c r="K47" s="64"/>
      <c r="L47" s="64"/>
      <c r="M47" s="64"/>
      <c r="N47" s="65">
        <f>'План и исполнение'!KA37</f>
        <v>63009355.200000003</v>
      </c>
      <c r="O47" s="66"/>
      <c r="P47" s="66"/>
      <c r="Q47" s="66"/>
      <c r="R47" s="66"/>
      <c r="S47" s="66"/>
      <c r="T47" s="66"/>
      <c r="U47" s="66"/>
      <c r="V47" s="66"/>
      <c r="W47" s="66"/>
      <c r="X47" s="66"/>
      <c r="Y47" s="66"/>
      <c r="Z47" s="66"/>
      <c r="AA47" s="66"/>
      <c r="AB47" s="66"/>
      <c r="AC47" s="66"/>
      <c r="AD47" s="66"/>
      <c r="AE47" s="66"/>
      <c r="AF47" s="67"/>
      <c r="AG47" s="67"/>
      <c r="AH47" s="67"/>
      <c r="AI47" s="67"/>
      <c r="AJ47" s="67"/>
      <c r="AK47" s="67"/>
      <c r="AL47" s="64"/>
      <c r="AM47" s="64"/>
      <c r="AN47" s="64"/>
      <c r="AO47" s="64"/>
      <c r="AP47" s="64"/>
      <c r="AQ47" s="64"/>
      <c r="AR47" s="65">
        <f>'План и исполнение'!KF37</f>
        <v>4958184.66</v>
      </c>
      <c r="AS47" s="63"/>
      <c r="AT47" s="63"/>
      <c r="AU47" s="63"/>
      <c r="AV47" s="63"/>
      <c r="AW47" s="63"/>
      <c r="AX47" s="63"/>
      <c r="AY47" s="63"/>
      <c r="AZ47" s="63"/>
      <c r="BA47" s="63"/>
      <c r="BB47" s="63"/>
      <c r="BC47" s="63"/>
      <c r="BD47" s="63"/>
      <c r="BE47" s="63"/>
      <c r="BF47" s="63"/>
      <c r="BG47" s="63"/>
      <c r="BH47" s="63"/>
      <c r="BI47" s="63"/>
    </row>
    <row r="48" spans="1:67" ht="32.4" customHeight="1" x14ac:dyDescent="0.25">
      <c r="A48" s="1840" t="s">
        <v>345</v>
      </c>
      <c r="B48" s="1840"/>
      <c r="C48" s="1840"/>
      <c r="D48" s="1840"/>
      <c r="E48" s="1840"/>
      <c r="F48" s="1840"/>
      <c r="G48" s="1840"/>
      <c r="H48" s="1840"/>
      <c r="I48" s="1840"/>
      <c r="J48" s="1840"/>
      <c r="K48" s="1840"/>
      <c r="L48" s="1840"/>
      <c r="M48" s="64"/>
      <c r="N48" s="65">
        <f>'План и исполнение'!MA37</f>
        <v>5050157.8899999997</v>
      </c>
      <c r="O48" s="66"/>
      <c r="P48" s="66"/>
      <c r="Q48" s="66"/>
      <c r="R48" s="66"/>
      <c r="S48" s="66"/>
      <c r="T48" s="66"/>
      <c r="U48" s="66"/>
      <c r="V48" s="66"/>
      <c r="W48" s="66"/>
      <c r="X48" s="66"/>
      <c r="Y48" s="66"/>
      <c r="Z48" s="66"/>
      <c r="AA48" s="66"/>
      <c r="AB48" s="66"/>
      <c r="AC48" s="66"/>
      <c r="AD48" s="66"/>
      <c r="AE48" s="66"/>
      <c r="AF48" s="67"/>
      <c r="AG48" s="67"/>
      <c r="AH48" s="67"/>
      <c r="AI48" s="67"/>
      <c r="AJ48" s="67"/>
      <c r="AK48" s="67"/>
      <c r="AL48" s="64"/>
      <c r="AM48" s="64"/>
      <c r="AN48" s="64"/>
      <c r="AO48" s="64"/>
      <c r="AP48" s="64"/>
      <c r="AQ48" s="64"/>
      <c r="AR48" s="65">
        <f>'План и исполнение'!ME37</f>
        <v>5050157.8899999997</v>
      </c>
      <c r="AS48" s="63"/>
      <c r="AT48" s="63"/>
      <c r="AU48" s="63"/>
      <c r="AV48" s="63"/>
      <c r="AW48" s="63"/>
      <c r="AX48" s="63"/>
      <c r="AY48" s="63"/>
      <c r="AZ48" s="63"/>
      <c r="BA48" s="63"/>
      <c r="BB48" s="63"/>
      <c r="BC48" s="63"/>
      <c r="BD48" s="63"/>
      <c r="BE48" s="63"/>
      <c r="BF48" s="63"/>
      <c r="BG48" s="63"/>
      <c r="BH48" s="63"/>
      <c r="BI48" s="63"/>
    </row>
    <row r="49" spans="1:61" ht="21" customHeight="1" x14ac:dyDescent="0.25">
      <c r="A49" s="62" t="s">
        <v>251</v>
      </c>
      <c r="B49" s="63"/>
      <c r="C49" s="63"/>
      <c r="D49" s="63"/>
      <c r="E49" s="63"/>
      <c r="F49" s="63"/>
      <c r="G49" s="63"/>
      <c r="H49" s="63"/>
      <c r="I49" s="64"/>
      <c r="J49" s="64"/>
      <c r="K49" s="64"/>
      <c r="L49" s="64"/>
      <c r="M49" s="64"/>
      <c r="N49" s="65">
        <f>'План и исполнение'!MU37</f>
        <v>253210847</v>
      </c>
      <c r="O49" s="66"/>
      <c r="P49" s="66"/>
      <c r="Q49" s="66"/>
      <c r="R49" s="66"/>
      <c r="S49" s="66"/>
      <c r="T49" s="66"/>
      <c r="U49" s="66"/>
      <c r="V49" s="66"/>
      <c r="W49" s="66"/>
      <c r="X49" s="66"/>
      <c r="Y49" s="66"/>
      <c r="Z49" s="66"/>
      <c r="AA49" s="66"/>
      <c r="AB49" s="66"/>
      <c r="AC49" s="66"/>
      <c r="AD49" s="66"/>
      <c r="AE49" s="66"/>
      <c r="AF49" s="67"/>
      <c r="AG49" s="67"/>
      <c r="AH49" s="67"/>
      <c r="AI49" s="67"/>
      <c r="AJ49" s="67"/>
      <c r="AK49" s="67"/>
      <c r="AL49" s="64"/>
      <c r="AM49" s="64"/>
      <c r="AN49" s="64"/>
      <c r="AO49" s="64"/>
      <c r="AP49" s="64"/>
      <c r="AQ49" s="64"/>
      <c r="AR49" s="65">
        <f>'План и исполнение'!MY37</f>
        <v>176806505.78999999</v>
      </c>
      <c r="AS49" s="63"/>
      <c r="AT49" s="63"/>
      <c r="AU49" s="63"/>
      <c r="AV49" s="63"/>
      <c r="AW49" s="63"/>
      <c r="AX49" s="63"/>
      <c r="AY49" s="63"/>
      <c r="AZ49" s="63"/>
      <c r="BA49" s="63"/>
      <c r="BB49" s="63"/>
      <c r="BC49" s="63"/>
      <c r="BD49" s="63"/>
      <c r="BE49" s="63"/>
      <c r="BF49" s="63"/>
      <c r="BG49" s="63"/>
      <c r="BH49" s="63"/>
      <c r="BI49" s="63"/>
    </row>
    <row r="50" spans="1:61" ht="21" customHeight="1" x14ac:dyDescent="0.25">
      <c r="A50" s="62" t="s">
        <v>647</v>
      </c>
      <c r="B50" s="63"/>
      <c r="C50" s="63"/>
      <c r="D50" s="63"/>
      <c r="E50" s="63"/>
      <c r="F50" s="63"/>
      <c r="G50" s="63"/>
      <c r="H50" s="63"/>
      <c r="I50" s="64"/>
      <c r="J50" s="64"/>
      <c r="K50" s="64"/>
      <c r="L50" s="64"/>
      <c r="M50" s="64"/>
      <c r="N50" s="65">
        <f>'План и исполнение'!NY37</f>
        <v>143940277.77000001</v>
      </c>
      <c r="O50" s="66"/>
      <c r="P50" s="66"/>
      <c r="Q50" s="66"/>
      <c r="R50" s="66"/>
      <c r="S50" s="66"/>
      <c r="T50" s="66"/>
      <c r="U50" s="66"/>
      <c r="V50" s="66"/>
      <c r="W50" s="66"/>
      <c r="X50" s="66"/>
      <c r="Y50" s="66"/>
      <c r="Z50" s="66"/>
      <c r="AA50" s="66"/>
      <c r="AB50" s="66"/>
      <c r="AC50" s="66"/>
      <c r="AD50" s="66"/>
      <c r="AE50" s="66"/>
      <c r="AF50" s="67"/>
      <c r="AG50" s="67"/>
      <c r="AH50" s="67"/>
      <c r="AI50" s="67"/>
      <c r="AJ50" s="67"/>
      <c r="AK50" s="67"/>
      <c r="AL50" s="64"/>
      <c r="AM50" s="64"/>
      <c r="AN50" s="64"/>
      <c r="AO50" s="64"/>
      <c r="AP50" s="64"/>
      <c r="AQ50" s="64"/>
      <c r="AR50" s="65">
        <f>'План и исполнение'!OF37</f>
        <v>7270928.0100000007</v>
      </c>
      <c r="AS50" s="63"/>
      <c r="AT50" s="63"/>
      <c r="AU50" s="63"/>
      <c r="AV50" s="63"/>
      <c r="AW50" s="63"/>
      <c r="AX50" s="63"/>
      <c r="AY50" s="63"/>
      <c r="AZ50" s="63"/>
      <c r="BA50" s="63"/>
      <c r="BB50" s="63"/>
      <c r="BC50" s="63"/>
      <c r="BD50" s="63"/>
      <c r="BE50" s="63"/>
      <c r="BF50" s="63"/>
      <c r="BG50" s="63"/>
      <c r="BH50" s="63"/>
      <c r="BI50" s="63"/>
    </row>
    <row r="51" spans="1:61" ht="29.4" customHeight="1" x14ac:dyDescent="0.25">
      <c r="A51" s="1840" t="s">
        <v>717</v>
      </c>
      <c r="B51" s="1840"/>
      <c r="C51" s="1840"/>
      <c r="D51" s="1840"/>
      <c r="E51" s="1840"/>
      <c r="F51" s="1840"/>
      <c r="G51" s="1840"/>
      <c r="H51" s="1840"/>
      <c r="I51" s="1840"/>
      <c r="J51" s="1840"/>
      <c r="K51" s="1840"/>
      <c r="L51" s="1840"/>
      <c r="M51" s="64"/>
      <c r="N51" s="65">
        <f>'План и исполнение'!FQ37</f>
        <v>6108050</v>
      </c>
      <c r="O51" s="66"/>
      <c r="P51" s="66"/>
      <c r="Q51" s="66"/>
      <c r="R51" s="66"/>
      <c r="S51" s="66"/>
      <c r="T51" s="66"/>
      <c r="U51" s="66"/>
      <c r="V51" s="66"/>
      <c r="W51" s="66"/>
      <c r="X51" s="66"/>
      <c r="Y51" s="66"/>
      <c r="Z51" s="66"/>
      <c r="AA51" s="66"/>
      <c r="AB51" s="66"/>
      <c r="AC51" s="66"/>
      <c r="AD51" s="66"/>
      <c r="AE51" s="66"/>
      <c r="AF51" s="67"/>
      <c r="AG51" s="67"/>
      <c r="AH51" s="67"/>
      <c r="AI51" s="67"/>
      <c r="AJ51" s="67"/>
      <c r="AK51" s="67"/>
      <c r="AL51" s="64"/>
      <c r="AM51" s="64"/>
      <c r="AN51" s="64"/>
      <c r="AO51" s="64"/>
      <c r="AP51" s="64"/>
      <c r="AQ51" s="64"/>
      <c r="AR51" s="65">
        <f>'План и исполнение'!FT37</f>
        <v>0</v>
      </c>
      <c r="AS51" s="63"/>
      <c r="AT51" s="63"/>
      <c r="AU51" s="63"/>
      <c r="AV51" s="63"/>
      <c r="AW51" s="63"/>
      <c r="AX51" s="63"/>
      <c r="AY51" s="63"/>
      <c r="AZ51" s="63"/>
      <c r="BA51" s="63"/>
      <c r="BB51" s="63"/>
      <c r="BC51" s="63"/>
      <c r="BD51" s="63"/>
      <c r="BE51" s="63"/>
      <c r="BF51" s="63"/>
      <c r="BG51" s="63"/>
      <c r="BH51" s="63"/>
      <c r="BI51" s="63"/>
    </row>
    <row r="52" spans="1:61" ht="33.6" customHeight="1" x14ac:dyDescent="0.25">
      <c r="A52" s="1842" t="s">
        <v>250</v>
      </c>
      <c r="B52" s="1842"/>
      <c r="C52" s="1842"/>
      <c r="D52" s="1842"/>
      <c r="E52" s="1842"/>
      <c r="F52" s="1842"/>
      <c r="G52" s="1842"/>
      <c r="H52" s="1842"/>
      <c r="I52" s="1842"/>
      <c r="J52" s="1842"/>
      <c r="K52" s="1842"/>
      <c r="L52" s="1842"/>
      <c r="M52" s="64"/>
      <c r="N52" s="65">
        <f>'План и исполнение'!IS37</f>
        <v>15033279.370000003</v>
      </c>
      <c r="O52" s="66"/>
      <c r="P52" s="66"/>
      <c r="Q52" s="66"/>
      <c r="R52" s="66"/>
      <c r="S52" s="66"/>
      <c r="T52" s="66"/>
      <c r="U52" s="66"/>
      <c r="V52" s="66"/>
      <c r="W52" s="66"/>
      <c r="X52" s="66"/>
      <c r="Y52" s="66"/>
      <c r="Z52" s="66"/>
      <c r="AA52" s="66"/>
      <c r="AB52" s="66"/>
      <c r="AC52" s="66"/>
      <c r="AD52" s="66"/>
      <c r="AE52" s="66"/>
      <c r="AF52" s="67"/>
      <c r="AG52" s="67"/>
      <c r="AH52" s="67"/>
      <c r="AI52" s="67"/>
      <c r="AJ52" s="67"/>
      <c r="AK52" s="67"/>
      <c r="AL52" s="64"/>
      <c r="AM52" s="64"/>
      <c r="AN52" s="64"/>
      <c r="AO52" s="64"/>
      <c r="AP52" s="64"/>
      <c r="AQ52" s="64"/>
      <c r="AR52" s="65">
        <f>'План и исполнение'!IV37</f>
        <v>12788765.390000001</v>
      </c>
      <c r="AS52" s="63"/>
      <c r="AT52" s="63"/>
      <c r="AU52" s="63"/>
      <c r="AV52" s="63"/>
      <c r="AW52" s="63"/>
      <c r="AX52" s="63"/>
      <c r="AY52" s="63"/>
      <c r="AZ52" s="63"/>
      <c r="BA52" s="63"/>
      <c r="BB52" s="63"/>
      <c r="BC52" s="63"/>
      <c r="BD52" s="63"/>
      <c r="BE52" s="63"/>
      <c r="BF52" s="63"/>
      <c r="BG52" s="63"/>
      <c r="BH52" s="63"/>
      <c r="BI52" s="63"/>
    </row>
    <row r="53" spans="1:61" ht="20.100000000000001" customHeight="1" x14ac:dyDescent="0.25">
      <c r="A53" s="1842" t="s">
        <v>652</v>
      </c>
      <c r="B53" s="1842"/>
      <c r="C53" s="1842"/>
      <c r="D53" s="1842"/>
      <c r="E53" s="1842"/>
      <c r="F53" s="1842"/>
      <c r="G53" s="1842"/>
      <c r="H53" s="1842"/>
      <c r="I53" s="1842"/>
      <c r="J53" s="1842"/>
      <c r="K53" s="1842"/>
      <c r="L53" s="1384"/>
      <c r="M53" s="64"/>
      <c r="N53" s="65">
        <f>'План и исполнение'!QA37</f>
        <v>0</v>
      </c>
      <c r="O53" s="66"/>
      <c r="P53" s="66"/>
      <c r="Q53" s="66"/>
      <c r="R53" s="66"/>
      <c r="S53" s="66"/>
      <c r="T53" s="66"/>
      <c r="U53" s="66"/>
      <c r="V53" s="66"/>
      <c r="W53" s="66"/>
      <c r="X53" s="66"/>
      <c r="Y53" s="66"/>
      <c r="Z53" s="66"/>
      <c r="AA53" s="66"/>
      <c r="AB53" s="66"/>
      <c r="AC53" s="66"/>
      <c r="AD53" s="66"/>
      <c r="AE53" s="66"/>
      <c r="AF53" s="67"/>
      <c r="AG53" s="67"/>
      <c r="AH53" s="67"/>
      <c r="AI53" s="67"/>
      <c r="AJ53" s="67"/>
      <c r="AK53" s="67"/>
      <c r="AL53" s="64"/>
      <c r="AM53" s="64"/>
      <c r="AN53" s="64"/>
      <c r="AO53" s="64"/>
      <c r="AP53" s="64"/>
      <c r="AQ53" s="64"/>
      <c r="AR53" s="65">
        <f>'План и исполнение'!QD37</f>
        <v>0</v>
      </c>
      <c r="AS53" s="63"/>
      <c r="AT53" s="63"/>
      <c r="AU53" s="63"/>
      <c r="AV53" s="63"/>
      <c r="AW53" s="63"/>
      <c r="AX53" s="63"/>
      <c r="AY53" s="63"/>
      <c r="AZ53" s="63"/>
      <c r="BA53" s="63"/>
      <c r="BB53" s="63"/>
      <c r="BC53" s="63"/>
      <c r="BD53" s="63"/>
      <c r="BE53" s="63"/>
      <c r="BF53" s="63"/>
      <c r="BG53" s="63"/>
      <c r="BH53" s="63"/>
      <c r="BI53" s="63"/>
    </row>
    <row r="54" spans="1:61" ht="21" customHeight="1" x14ac:dyDescent="0.25">
      <c r="A54" s="62" t="s">
        <v>162</v>
      </c>
      <c r="B54" s="63"/>
      <c r="C54" s="63"/>
      <c r="D54" s="63"/>
      <c r="E54" s="63"/>
      <c r="F54" s="63"/>
      <c r="G54" s="63"/>
      <c r="H54" s="63"/>
      <c r="I54" s="64"/>
      <c r="J54" s="64"/>
      <c r="K54" s="64"/>
      <c r="L54" s="64"/>
      <c r="M54" s="64"/>
      <c r="N54" s="65">
        <f>'План и исполнение'!QU37</f>
        <v>208195421.25999999</v>
      </c>
      <c r="O54" s="66"/>
      <c r="P54" s="66"/>
      <c r="Q54" s="66"/>
      <c r="R54" s="66"/>
      <c r="S54" s="66"/>
      <c r="T54" s="66"/>
      <c r="U54" s="66"/>
      <c r="V54" s="66"/>
      <c r="W54" s="66"/>
      <c r="X54" s="66"/>
      <c r="Y54" s="66"/>
      <c r="Z54" s="66"/>
      <c r="AA54" s="66"/>
      <c r="AB54" s="66"/>
      <c r="AC54" s="66"/>
      <c r="AD54" s="66"/>
      <c r="AE54" s="66"/>
      <c r="AF54" s="67"/>
      <c r="AG54" s="67"/>
      <c r="AH54" s="67"/>
      <c r="AI54" s="67"/>
      <c r="AJ54" s="67"/>
      <c r="AK54" s="67"/>
      <c r="AL54" s="64"/>
      <c r="AM54" s="64"/>
      <c r="AN54" s="64"/>
      <c r="AO54" s="64"/>
      <c r="AP54" s="64"/>
      <c r="AQ54" s="64"/>
      <c r="AR54" s="65">
        <f>'План и исполнение'!QV37</f>
        <v>60149626.360000014</v>
      </c>
      <c r="AS54" s="63"/>
      <c r="AT54" s="63"/>
      <c r="AU54" s="63"/>
      <c r="AV54" s="63"/>
      <c r="AW54" s="63"/>
      <c r="AX54" s="63"/>
      <c r="AY54" s="63"/>
      <c r="AZ54" s="63"/>
      <c r="BA54" s="63"/>
      <c r="BB54" s="63"/>
      <c r="BC54" s="63"/>
      <c r="BD54" s="63"/>
      <c r="BE54" s="63"/>
      <c r="BF54" s="63"/>
      <c r="BG54" s="63"/>
      <c r="BH54" s="63"/>
      <c r="BI54" s="63"/>
    </row>
    <row r="55" spans="1:61" ht="21" customHeight="1" x14ac:dyDescent="0.25">
      <c r="A55" s="62" t="s">
        <v>163</v>
      </c>
      <c r="B55" s="63"/>
      <c r="C55" s="63"/>
      <c r="D55" s="63"/>
      <c r="E55" s="63"/>
      <c r="F55" s="63"/>
      <c r="G55" s="63"/>
      <c r="H55" s="63"/>
      <c r="I55" s="64"/>
      <c r="J55" s="64"/>
      <c r="K55" s="64"/>
      <c r="L55" s="64"/>
      <c r="M55" s="64"/>
      <c r="N55" s="65">
        <f>'План и исполнение'!RM37</f>
        <v>28803000</v>
      </c>
      <c r="O55" s="66"/>
      <c r="P55" s="66"/>
      <c r="Q55" s="66"/>
      <c r="R55" s="66"/>
      <c r="S55" s="66"/>
      <c r="T55" s="66"/>
      <c r="U55" s="66"/>
      <c r="V55" s="66"/>
      <c r="W55" s="66"/>
      <c r="X55" s="66"/>
      <c r="Y55" s="66"/>
      <c r="Z55" s="66"/>
      <c r="AA55" s="66"/>
      <c r="AB55" s="66"/>
      <c r="AC55" s="66"/>
      <c r="AD55" s="66"/>
      <c r="AE55" s="66"/>
      <c r="AF55" s="67"/>
      <c r="AG55" s="67"/>
      <c r="AH55" s="67"/>
      <c r="AI55" s="67"/>
      <c r="AJ55" s="67"/>
      <c r="AK55" s="67"/>
      <c r="AL55" s="64"/>
      <c r="AM55" s="64"/>
      <c r="AN55" s="64"/>
      <c r="AO55" s="64"/>
      <c r="AP55" s="64"/>
      <c r="AQ55" s="64"/>
      <c r="AR55" s="65">
        <f>'План и исполнение'!RN37</f>
        <v>12567161.530000001</v>
      </c>
      <c r="AS55" s="63"/>
      <c r="AT55" s="63"/>
      <c r="AU55" s="63"/>
      <c r="AV55" s="63"/>
      <c r="AW55" s="63"/>
      <c r="AX55" s="63"/>
      <c r="AY55" s="63"/>
      <c r="AZ55" s="63"/>
      <c r="BA55" s="63"/>
      <c r="BB55" s="63"/>
      <c r="BC55" s="63"/>
      <c r="BD55" s="63"/>
      <c r="BE55" s="63"/>
      <c r="BF55" s="63"/>
      <c r="BG55" s="63"/>
      <c r="BH55" s="63"/>
      <c r="BI55" s="63"/>
    </row>
    <row r="56" spans="1:61" ht="21" customHeight="1" x14ac:dyDescent="0.25">
      <c r="A56" s="77" t="s">
        <v>742</v>
      </c>
      <c r="B56" s="73"/>
      <c r="C56" s="73"/>
      <c r="D56" s="73"/>
      <c r="E56" s="73"/>
      <c r="F56" s="73"/>
      <c r="G56" s="73"/>
      <c r="H56" s="73"/>
      <c r="I56" s="71"/>
      <c r="J56" s="71"/>
      <c r="K56" s="71"/>
      <c r="L56" s="71"/>
      <c r="M56" s="71"/>
      <c r="N56" s="78">
        <f>'План и исполнение'!SS37</f>
        <v>0</v>
      </c>
      <c r="O56" s="79"/>
      <c r="P56" s="79"/>
      <c r="Q56" s="79"/>
      <c r="R56" s="79"/>
      <c r="S56" s="79"/>
      <c r="T56" s="79"/>
      <c r="U56" s="79"/>
      <c r="V56" s="79"/>
      <c r="W56" s="79"/>
      <c r="X56" s="79"/>
      <c r="Y56" s="79"/>
      <c r="Z56" s="79"/>
      <c r="AA56" s="79"/>
      <c r="AB56" s="79"/>
      <c r="AC56" s="79"/>
      <c r="AD56" s="79"/>
      <c r="AE56" s="79"/>
      <c r="AF56" s="80"/>
      <c r="AG56" s="80"/>
      <c r="AH56" s="80"/>
      <c r="AI56" s="80"/>
      <c r="AJ56" s="80"/>
      <c r="AK56" s="80"/>
      <c r="AL56" s="71"/>
      <c r="AM56" s="71"/>
      <c r="AN56" s="71"/>
      <c r="AO56" s="71"/>
      <c r="AP56" s="71"/>
      <c r="AQ56" s="71"/>
      <c r="AR56" s="78">
        <f>'План и исполнение'!SU37</f>
        <v>0</v>
      </c>
      <c r="AS56" s="73"/>
      <c r="AT56" s="73"/>
      <c r="AU56" s="73"/>
      <c r="AV56" s="73"/>
      <c r="AW56" s="63"/>
      <c r="AX56" s="63"/>
      <c r="AY56" s="63"/>
      <c r="AZ56" s="63"/>
      <c r="BA56" s="63"/>
      <c r="BB56" s="63"/>
      <c r="BC56" s="63"/>
      <c r="BD56" s="63"/>
      <c r="BE56" s="63"/>
      <c r="BF56" s="63"/>
      <c r="BG56" s="63"/>
      <c r="BH56" s="63"/>
      <c r="BI56" s="63"/>
    </row>
    <row r="57" spans="1:61" ht="21" customHeight="1" x14ac:dyDescent="0.25">
      <c r="A57" s="77" t="s">
        <v>543</v>
      </c>
      <c r="B57" s="73"/>
      <c r="C57" s="73"/>
      <c r="D57" s="73"/>
      <c r="E57" s="73"/>
      <c r="F57" s="73"/>
      <c r="G57" s="73"/>
      <c r="H57" s="73"/>
      <c r="I57" s="71"/>
      <c r="J57" s="71"/>
      <c r="K57" s="71"/>
      <c r="L57" s="71"/>
      <c r="M57" s="71"/>
      <c r="N57" s="78">
        <f>'План и исполнение'!TE37</f>
        <v>15000000</v>
      </c>
      <c r="O57" s="79"/>
      <c r="P57" s="79"/>
      <c r="Q57" s="79"/>
      <c r="R57" s="79"/>
      <c r="S57" s="79"/>
      <c r="T57" s="79"/>
      <c r="U57" s="79"/>
      <c r="V57" s="79"/>
      <c r="W57" s="79"/>
      <c r="X57" s="79"/>
      <c r="Y57" s="79"/>
      <c r="Z57" s="79"/>
      <c r="AA57" s="79"/>
      <c r="AB57" s="79"/>
      <c r="AC57" s="79"/>
      <c r="AD57" s="79"/>
      <c r="AE57" s="79"/>
      <c r="AF57" s="80"/>
      <c r="AG57" s="80"/>
      <c r="AH57" s="80"/>
      <c r="AI57" s="80"/>
      <c r="AJ57" s="80"/>
      <c r="AK57" s="80"/>
      <c r="AL57" s="71"/>
      <c r="AM57" s="71"/>
      <c r="AN57" s="71"/>
      <c r="AO57" s="71"/>
      <c r="AP57" s="71"/>
      <c r="AQ57" s="71"/>
      <c r="AR57" s="78">
        <f>'План и исполнение'!TG37</f>
        <v>15000000</v>
      </c>
      <c r="AS57" s="73"/>
      <c r="AT57" s="73"/>
      <c r="AU57" s="73"/>
      <c r="AV57" s="73"/>
      <c r="AW57" s="63"/>
      <c r="AX57" s="63"/>
      <c r="AY57" s="63"/>
      <c r="AZ57" s="63"/>
      <c r="BA57" s="63"/>
      <c r="BB57" s="63"/>
      <c r="BC57" s="63"/>
      <c r="BD57" s="63"/>
      <c r="BE57" s="63"/>
      <c r="BF57" s="63"/>
      <c r="BG57" s="63"/>
      <c r="BH57" s="63"/>
      <c r="BI57" s="63"/>
    </row>
    <row r="58" spans="1:61" ht="21" customHeight="1" x14ac:dyDescent="0.25">
      <c r="A58" s="77" t="s">
        <v>752</v>
      </c>
      <c r="B58" s="73"/>
      <c r="C58" s="73"/>
      <c r="D58" s="73"/>
      <c r="E58" s="73"/>
      <c r="F58" s="73"/>
      <c r="G58" s="73"/>
      <c r="H58" s="73"/>
      <c r="I58" s="71"/>
      <c r="J58" s="71"/>
      <c r="K58" s="71"/>
      <c r="L58" s="71"/>
      <c r="M58" s="71"/>
      <c r="N58" s="78">
        <f>'План и исполнение'!TQ37</f>
        <v>0</v>
      </c>
      <c r="O58" s="79"/>
      <c r="P58" s="79"/>
      <c r="Q58" s="79"/>
      <c r="R58" s="79"/>
      <c r="S58" s="79"/>
      <c r="T58" s="79"/>
      <c r="U58" s="79"/>
      <c r="V58" s="79"/>
      <c r="W58" s="79"/>
      <c r="X58" s="79"/>
      <c r="Y58" s="79"/>
      <c r="Z58" s="79"/>
      <c r="AA58" s="79"/>
      <c r="AB58" s="79"/>
      <c r="AC58" s="79"/>
      <c r="AD58" s="79"/>
      <c r="AE58" s="79"/>
      <c r="AF58" s="80"/>
      <c r="AG58" s="80"/>
      <c r="AH58" s="80"/>
      <c r="AI58" s="80"/>
      <c r="AJ58" s="80"/>
      <c r="AK58" s="80"/>
      <c r="AL58" s="71"/>
      <c r="AM58" s="71"/>
      <c r="AN58" s="71"/>
      <c r="AO58" s="71"/>
      <c r="AP58" s="71"/>
      <c r="AQ58" s="71"/>
      <c r="AR58" s="78">
        <f>'План и исполнение'!TS37</f>
        <v>0</v>
      </c>
      <c r="AS58" s="73"/>
      <c r="AT58" s="73"/>
      <c r="AU58" s="73"/>
      <c r="AV58" s="73"/>
      <c r="AW58" s="63"/>
      <c r="AX58" s="63"/>
      <c r="AY58" s="63"/>
      <c r="AZ58" s="63"/>
      <c r="BA58" s="63"/>
      <c r="BB58" s="63"/>
      <c r="BC58" s="63"/>
      <c r="BD58" s="63"/>
      <c r="BE58" s="63"/>
      <c r="BF58" s="63"/>
      <c r="BG58" s="63"/>
      <c r="BH58" s="63"/>
      <c r="BI58" s="63"/>
    </row>
    <row r="59" spans="1:61" ht="30.9" customHeight="1" x14ac:dyDescent="0.25">
      <c r="A59" s="1840" t="s">
        <v>831</v>
      </c>
      <c r="B59" s="1840"/>
      <c r="C59" s="1840"/>
      <c r="D59" s="1840"/>
      <c r="E59" s="1840"/>
      <c r="F59" s="1840"/>
      <c r="G59" s="1840"/>
      <c r="H59" s="1840"/>
      <c r="I59" s="1840"/>
      <c r="J59" s="1840"/>
      <c r="K59" s="1840"/>
      <c r="L59" s="1840"/>
      <c r="M59" s="71"/>
      <c r="N59" s="78">
        <f>'План и исполнение'!UE37</f>
        <v>150500000</v>
      </c>
      <c r="O59" s="79"/>
      <c r="P59" s="79"/>
      <c r="Q59" s="79"/>
      <c r="R59" s="79"/>
      <c r="S59" s="79"/>
      <c r="T59" s="79"/>
      <c r="U59" s="79"/>
      <c r="V59" s="79"/>
      <c r="W59" s="79"/>
      <c r="X59" s="79"/>
      <c r="Y59" s="79"/>
      <c r="Z59" s="79"/>
      <c r="AA59" s="79"/>
      <c r="AB59" s="79"/>
      <c r="AC59" s="79"/>
      <c r="AD59" s="79"/>
      <c r="AE59" s="79"/>
      <c r="AF59" s="80"/>
      <c r="AG59" s="80"/>
      <c r="AH59" s="80"/>
      <c r="AI59" s="80"/>
      <c r="AJ59" s="80"/>
      <c r="AK59" s="80"/>
      <c r="AL59" s="71"/>
      <c r="AM59" s="71"/>
      <c r="AN59" s="71"/>
      <c r="AO59" s="71"/>
      <c r="AP59" s="71"/>
      <c r="AQ59" s="71"/>
      <c r="AR59" s="78">
        <f>'План и исполнение'!UH37</f>
        <v>749900</v>
      </c>
      <c r="AS59" s="73"/>
      <c r="AT59" s="73"/>
      <c r="AU59" s="73"/>
      <c r="AV59" s="73"/>
      <c r="AW59" s="63"/>
      <c r="AX59" s="63"/>
      <c r="AY59" s="63"/>
      <c r="AZ59" s="63"/>
      <c r="BA59" s="63"/>
      <c r="BB59" s="63"/>
      <c r="BC59" s="63"/>
      <c r="BD59" s="63"/>
      <c r="BE59" s="63"/>
      <c r="BF59" s="63"/>
      <c r="BG59" s="63"/>
      <c r="BH59" s="63"/>
      <c r="BI59" s="63"/>
    </row>
    <row r="60" spans="1:61" ht="21" customHeight="1" x14ac:dyDescent="0.25">
      <c r="A60" s="77" t="s">
        <v>168</v>
      </c>
      <c r="B60" s="73"/>
      <c r="C60" s="73"/>
      <c r="D60" s="73"/>
      <c r="E60" s="73"/>
      <c r="F60" s="73"/>
      <c r="G60" s="73"/>
      <c r="H60" s="73"/>
      <c r="I60" s="71"/>
      <c r="J60" s="71"/>
      <c r="K60" s="71"/>
      <c r="L60" s="71"/>
      <c r="M60" s="71"/>
      <c r="N60" s="78">
        <f>'План и исполнение'!VI37</f>
        <v>0</v>
      </c>
      <c r="O60" s="79"/>
      <c r="P60" s="79"/>
      <c r="Q60" s="79"/>
      <c r="R60" s="79"/>
      <c r="S60" s="79"/>
      <c r="T60" s="79"/>
      <c r="U60" s="79"/>
      <c r="V60" s="79"/>
      <c r="W60" s="79"/>
      <c r="X60" s="79"/>
      <c r="Y60" s="79"/>
      <c r="Z60" s="79"/>
      <c r="AA60" s="79"/>
      <c r="AB60" s="79"/>
      <c r="AC60" s="79"/>
      <c r="AD60" s="79"/>
      <c r="AE60" s="79"/>
      <c r="AF60" s="80"/>
      <c r="AG60" s="80"/>
      <c r="AH60" s="80"/>
      <c r="AI60" s="80"/>
      <c r="AJ60" s="80"/>
      <c r="AK60" s="80"/>
      <c r="AL60" s="71"/>
      <c r="AM60" s="71"/>
      <c r="AN60" s="71"/>
      <c r="AO60" s="71"/>
      <c r="AP60" s="71"/>
      <c r="AQ60" s="71"/>
      <c r="AR60" s="78">
        <f>'План и исполнение'!VK37</f>
        <v>0</v>
      </c>
      <c r="AS60" s="73"/>
      <c r="AT60" s="73"/>
      <c r="AU60" s="73"/>
      <c r="AV60" s="73"/>
      <c r="AW60" s="63"/>
      <c r="AX60" s="63"/>
      <c r="AY60" s="63"/>
      <c r="AZ60" s="63"/>
      <c r="BA60" s="63"/>
      <c r="BB60" s="63"/>
      <c r="BC60" s="63"/>
      <c r="BD60" s="63"/>
      <c r="BE60" s="63"/>
      <c r="BF60" s="63"/>
      <c r="BG60" s="63"/>
      <c r="BH60" s="63"/>
      <c r="BI60" s="63"/>
    </row>
    <row r="61" spans="1:61" ht="21" customHeight="1" x14ac:dyDescent="0.3">
      <c r="A61" s="81" t="s">
        <v>164</v>
      </c>
      <c r="B61" s="82"/>
      <c r="C61" s="82"/>
      <c r="D61" s="82"/>
      <c r="E61" s="82"/>
      <c r="F61" s="82"/>
      <c r="G61" s="82"/>
      <c r="H61" s="82"/>
      <c r="I61" s="81"/>
      <c r="J61" s="81"/>
      <c r="K61" s="81"/>
      <c r="L61" s="81"/>
      <c r="M61" s="81"/>
      <c r="N61" s="83">
        <f>SUM(N39:N60)-N36</f>
        <v>0</v>
      </c>
      <c r="O61" s="83"/>
      <c r="P61" s="83"/>
      <c r="Q61" s="83"/>
      <c r="R61" s="83"/>
      <c r="S61" s="83"/>
      <c r="T61" s="83"/>
      <c r="U61" s="83"/>
      <c r="V61" s="83"/>
      <c r="W61" s="83"/>
      <c r="X61" s="83"/>
      <c r="Y61" s="83"/>
      <c r="Z61" s="83"/>
      <c r="AA61" s="83"/>
      <c r="AB61" s="83"/>
      <c r="AC61" s="83"/>
      <c r="AD61" s="83"/>
      <c r="AE61" s="83"/>
      <c r="AF61" s="82"/>
      <c r="AG61" s="82"/>
      <c r="AH61" s="82"/>
      <c r="AI61" s="82"/>
      <c r="AJ61" s="82"/>
      <c r="AK61" s="82"/>
      <c r="AL61" s="81"/>
      <c r="AM61" s="81"/>
      <c r="AN61" s="81"/>
      <c r="AO61" s="81"/>
      <c r="AP61" s="81"/>
      <c r="AQ61" s="81"/>
      <c r="AR61" s="83">
        <f>SUM(AR39:AR60)-AR36</f>
        <v>0</v>
      </c>
      <c r="AS61" s="82"/>
      <c r="AT61" s="82"/>
      <c r="AU61" s="82"/>
      <c r="AV61" s="82"/>
      <c r="AW61" s="84"/>
    </row>
    <row r="65" spans="1:44" s="85" customFormat="1" ht="15.6" x14ac:dyDescent="0.3">
      <c r="B65" s="1180" t="s">
        <v>488</v>
      </c>
      <c r="C65" s="1180" t="s">
        <v>489</v>
      </c>
      <c r="D65" s="1181" t="s">
        <v>490</v>
      </c>
      <c r="E65" s="1181" t="s">
        <v>491</v>
      </c>
      <c r="F65" s="1181" t="s">
        <v>492</v>
      </c>
      <c r="H65" s="1181" t="s">
        <v>493</v>
      </c>
      <c r="I65" s="1181" t="s">
        <v>494</v>
      </c>
      <c r="J65" s="1181" t="s">
        <v>495</v>
      </c>
      <c r="K65" s="1181" t="s">
        <v>496</v>
      </c>
      <c r="L65" s="1181" t="s">
        <v>497</v>
      </c>
      <c r="N65" s="445"/>
      <c r="AF65" s="445"/>
      <c r="AL65" s="445"/>
      <c r="AR65" s="445"/>
    </row>
    <row r="66" spans="1:44" s="85" customFormat="1" ht="15.6" x14ac:dyDescent="0.3">
      <c r="A66" s="1182" t="s">
        <v>498</v>
      </c>
      <c r="B66" s="1183">
        <f>D66+F66+I66+K66</f>
        <v>22104574.209600002</v>
      </c>
      <c r="C66" s="1183">
        <f>E66+H66+J66+L66</f>
        <v>10447797.45576</v>
      </c>
      <c r="D66" s="1184">
        <f>H33/1000</f>
        <v>10622687.493700001</v>
      </c>
      <c r="E66" s="1184">
        <f>AL33/1000</f>
        <v>4498961.1357399998</v>
      </c>
      <c r="F66" s="1184">
        <f>H29/1000</f>
        <v>9202001.4967599995</v>
      </c>
      <c r="G66" s="1185"/>
      <c r="H66" s="1184">
        <f>AL29/1000</f>
        <v>4957630.9700500006</v>
      </c>
      <c r="I66" s="1184">
        <f>Z36/1000</f>
        <v>771595.18939000007</v>
      </c>
      <c r="J66" s="1184">
        <f>BD36/1000</f>
        <v>275483.17132999992</v>
      </c>
      <c r="K66" s="1184">
        <f>T36/1000</f>
        <v>1508290.0297500002</v>
      </c>
      <c r="L66" s="1184">
        <f>AX36/1000</f>
        <v>715722.17863999982</v>
      </c>
      <c r="N66" s="445"/>
      <c r="AF66" s="445"/>
      <c r="AL66" s="445"/>
      <c r="AR66" s="445"/>
    </row>
    <row r="67" spans="1:44" s="85" customFormat="1" x14ac:dyDescent="0.25">
      <c r="A67" s="1186"/>
      <c r="B67" s="1187"/>
      <c r="C67" s="1187"/>
      <c r="D67" s="1188"/>
      <c r="E67" s="1188"/>
      <c r="F67" s="1188"/>
      <c r="G67" s="1185"/>
      <c r="H67" s="1188"/>
      <c r="I67" s="1188"/>
      <c r="J67" s="1188"/>
      <c r="K67" s="1188"/>
      <c r="L67" s="1188"/>
      <c r="N67" s="445"/>
      <c r="AF67" s="445"/>
      <c r="AL67" s="445"/>
      <c r="AR67" s="445"/>
    </row>
    <row r="68" spans="1:44" s="85" customFormat="1" ht="15.6" x14ac:dyDescent="0.3">
      <c r="A68" s="1182" t="s">
        <v>499</v>
      </c>
      <c r="B68" s="1183">
        <f>D68+F68+I68+K68</f>
        <v>2976947.2060000002</v>
      </c>
      <c r="C68" s="1183">
        <f>E68+H68+J68+L68</f>
        <v>1793436.1551299999</v>
      </c>
      <c r="D68" s="1184">
        <f>I33/1000</f>
        <v>713748.12600000005</v>
      </c>
      <c r="E68" s="1184">
        <f>AM33/1000</f>
        <v>407725.68</v>
      </c>
      <c r="F68" s="1184">
        <f>I29/1000</f>
        <v>1235846.3799999999</v>
      </c>
      <c r="G68" s="1185"/>
      <c r="H68" s="1184">
        <f>AM29/1000</f>
        <v>799458.60400000005</v>
      </c>
      <c r="I68" s="1184">
        <f>AA36/1000</f>
        <v>160211.9</v>
      </c>
      <c r="J68" s="1184">
        <f>BE36/1000</f>
        <v>120759.9252</v>
      </c>
      <c r="K68" s="1184">
        <f>U36/1000</f>
        <v>867140.8</v>
      </c>
      <c r="L68" s="1184">
        <f>AY36/1000</f>
        <v>465491.94592999999</v>
      </c>
      <c r="N68" s="445"/>
      <c r="AF68" s="445"/>
      <c r="AL68" s="445"/>
      <c r="AR68" s="445"/>
    </row>
    <row r="69" spans="1:44" s="85" customFormat="1" ht="15.6" x14ac:dyDescent="0.3">
      <c r="A69" s="1182" t="s">
        <v>500</v>
      </c>
      <c r="B69" s="1183">
        <f t="shared" ref="B69:B70" si="40">D69+F69+I69+K69</f>
        <v>2191815.2999999998</v>
      </c>
      <c r="C69" s="1183">
        <f t="shared" ref="C69:C70" si="41">E69+H69+J69+L69</f>
        <v>1360887.8018499999</v>
      </c>
      <c r="D69" s="1189">
        <f>'План и исполнение'!F34/1000</f>
        <v>427084.2</v>
      </c>
      <c r="E69" s="1189">
        <f>'План и исполнение'!G34/1000</f>
        <v>268079.51400000002</v>
      </c>
      <c r="F69" s="1189">
        <f>'План и исполнение'!F30/1000</f>
        <v>1143211.5</v>
      </c>
      <c r="G69" s="1189"/>
      <c r="H69" s="1189">
        <f>'План и исполнение'!G30/1000</f>
        <v>739340.22400000005</v>
      </c>
      <c r="I69" s="1189">
        <f>'План и исполнение'!L37/1000</f>
        <v>131800</v>
      </c>
      <c r="J69" s="1189">
        <f>'План и исполнение'!M37/1000</f>
        <v>101207.77499999999</v>
      </c>
      <c r="K69" s="1189">
        <f>'План и исполнение'!J37/1000</f>
        <v>489719.6</v>
      </c>
      <c r="L69" s="1189">
        <f>'План и исполнение'!K37/1000</f>
        <v>252260.28884999998</v>
      </c>
      <c r="M69" s="1190">
        <f>'[3]Проверочная  таблица'!L37/1000</f>
        <v>132564.29999999999</v>
      </c>
      <c r="N69" s="445"/>
      <c r="AF69" s="445"/>
      <c r="AL69" s="445"/>
      <c r="AR69" s="445"/>
    </row>
    <row r="70" spans="1:44" s="85" customFormat="1" ht="15.6" x14ac:dyDescent="0.3">
      <c r="A70" s="1182" t="s">
        <v>501</v>
      </c>
      <c r="B70" s="1183">
        <f t="shared" si="40"/>
        <v>745131.90599999996</v>
      </c>
      <c r="C70" s="1183">
        <f t="shared" si="41"/>
        <v>406439.60327999998</v>
      </c>
      <c r="D70" s="1189">
        <f>'План и исполнение'!N34/1000</f>
        <v>285163.92599999998</v>
      </c>
      <c r="E70" s="1189">
        <f>'План и исполнение'!O34/1000</f>
        <v>138146.166</v>
      </c>
      <c r="F70" s="1189">
        <f>'План и исполнение'!N30/1000</f>
        <v>65634.880000000005</v>
      </c>
      <c r="G70" s="1189"/>
      <c r="H70" s="1189">
        <f>'План и исполнение'!O30/1000</f>
        <v>46818.38</v>
      </c>
      <c r="I70" s="1189">
        <f>'План и исполнение'!T30/1000</f>
        <v>25411.9</v>
      </c>
      <c r="J70" s="1189">
        <f>'План и исполнение'!U30/1000</f>
        <v>16552.1502</v>
      </c>
      <c r="K70" s="1189">
        <f>'План и исполнение'!R30/1000</f>
        <v>368921.2</v>
      </c>
      <c r="L70" s="1189">
        <f>'План и исполнение'!S30/1000</f>
        <v>204922.90707999998</v>
      </c>
      <c r="M70" s="1190">
        <f>'[3]Проверочная  таблица'!T30/1000</f>
        <v>15020</v>
      </c>
      <c r="N70" s="445"/>
      <c r="AF70" s="445"/>
      <c r="AL70" s="445"/>
      <c r="AR70" s="445"/>
    </row>
    <row r="71" spans="1:44" s="85" customFormat="1" ht="15.6" x14ac:dyDescent="0.3">
      <c r="A71" s="1182" t="s">
        <v>502</v>
      </c>
      <c r="B71" s="1183">
        <f>B68-B69-B70</f>
        <v>40000.000000000466</v>
      </c>
      <c r="C71" s="1183">
        <f t="shared" ref="C71:L71" si="42">C68-C69-C70</f>
        <v>26108.749999999942</v>
      </c>
      <c r="D71" s="1189">
        <f t="shared" si="42"/>
        <v>1500.0000000000582</v>
      </c>
      <c r="E71" s="1189">
        <f t="shared" si="42"/>
        <v>1499.9999999999709</v>
      </c>
      <c r="F71" s="1189">
        <f t="shared" si="42"/>
        <v>26999.999999999884</v>
      </c>
      <c r="G71" s="1189">
        <f t="shared" si="42"/>
        <v>0</v>
      </c>
      <c r="H71" s="1189">
        <f t="shared" si="42"/>
        <v>13300.000000000007</v>
      </c>
      <c r="I71" s="1189">
        <f t="shared" si="42"/>
        <v>2999.9999999999927</v>
      </c>
      <c r="J71" s="1189">
        <f t="shared" si="42"/>
        <v>3000.0000000000036</v>
      </c>
      <c r="K71" s="1189">
        <f t="shared" si="42"/>
        <v>8500.0000000000582</v>
      </c>
      <c r="L71" s="1189">
        <f t="shared" si="42"/>
        <v>8308.7500000000291</v>
      </c>
      <c r="N71" s="445"/>
      <c r="AF71" s="445"/>
      <c r="AL71" s="445"/>
      <c r="AR71" s="445"/>
    </row>
    <row r="72" spans="1:44" s="85" customFormat="1" x14ac:dyDescent="0.25">
      <c r="A72" s="1186"/>
      <c r="B72" s="1187"/>
      <c r="C72" s="1187"/>
      <c r="D72" s="1188"/>
      <c r="E72" s="1188"/>
      <c r="F72" s="1188"/>
      <c r="G72" s="1185"/>
      <c r="H72" s="1188"/>
      <c r="I72" s="1188"/>
      <c r="J72" s="1188"/>
      <c r="K72" s="1188"/>
      <c r="L72" s="1188"/>
      <c r="N72" s="445"/>
      <c r="AF72" s="445"/>
      <c r="AL72" s="445"/>
      <c r="AR72" s="445"/>
    </row>
    <row r="73" spans="1:44" s="85" customFormat="1" ht="15.6" x14ac:dyDescent="0.3">
      <c r="A73" s="1182" t="s">
        <v>503</v>
      </c>
      <c r="B73" s="1183">
        <f>D73+F73+I73+K73</f>
        <v>6405091.2181599997</v>
      </c>
      <c r="C73" s="1183">
        <f>E73+H73+J73+L73</f>
        <v>1820130.7962700003</v>
      </c>
      <c r="D73" s="1184">
        <f>J33/1000</f>
        <v>3272963.9522599997</v>
      </c>
      <c r="E73" s="1184">
        <f>AN33/1000</f>
        <v>856654.89781000023</v>
      </c>
      <c r="F73" s="1184">
        <f>J29/1000</f>
        <v>2073897.74676</v>
      </c>
      <c r="G73" s="1185"/>
      <c r="H73" s="1184">
        <f>AN29/1000</f>
        <v>586839.48115000001</v>
      </c>
      <c r="I73" s="1184">
        <f>AB36/1000</f>
        <v>445883.28938999999</v>
      </c>
      <c r="J73" s="1184">
        <f>BF36/1000</f>
        <v>138973.34612999999</v>
      </c>
      <c r="K73" s="1184">
        <f>V36/1000</f>
        <v>612346.22974999982</v>
      </c>
      <c r="L73" s="1184">
        <f>AZ36/1000</f>
        <v>237663.07118</v>
      </c>
      <c r="N73" s="445"/>
      <c r="AF73" s="445"/>
      <c r="AL73" s="445"/>
      <c r="AR73" s="445"/>
    </row>
    <row r="74" spans="1:44" s="85" customFormat="1" x14ac:dyDescent="0.25">
      <c r="A74" s="1186"/>
      <c r="B74" s="1187"/>
      <c r="C74" s="1187"/>
      <c r="D74" s="1188"/>
      <c r="E74" s="1188"/>
      <c r="F74" s="1188"/>
      <c r="G74" s="1185"/>
      <c r="H74" s="1188"/>
      <c r="I74" s="1188"/>
      <c r="J74" s="1188"/>
      <c r="K74" s="1188"/>
      <c r="L74" s="1188"/>
      <c r="N74" s="445"/>
      <c r="AF74" s="445"/>
      <c r="AL74" s="445"/>
      <c r="AR74" s="445"/>
    </row>
    <row r="75" spans="1:44" s="85" customFormat="1" ht="15.6" x14ac:dyDescent="0.3">
      <c r="A75" s="1182" t="s">
        <v>504</v>
      </c>
      <c r="B75" s="1183">
        <f>D75+F75+I75+K75</f>
        <v>2221266.5562299998</v>
      </c>
      <c r="C75" s="1183">
        <f>E75+H75+J75+L75</f>
        <v>1074624.9764399999</v>
      </c>
      <c r="D75" s="1184">
        <f>'План и исполнение'!D55</f>
        <v>1319469.52156</v>
      </c>
      <c r="E75" s="1184">
        <f>'План и исполнение'!E55</f>
        <v>542681.50526999997</v>
      </c>
      <c r="F75" s="1184">
        <f>'План и исполнение'!D54</f>
        <v>625436.10672000004</v>
      </c>
      <c r="G75" s="1185"/>
      <c r="H75" s="1184">
        <f>'План и исполнение'!E54</f>
        <v>435360.77341999998</v>
      </c>
      <c r="I75" s="1184">
        <f>'План и исполнение'!D60</f>
        <v>190025.19746999996</v>
      </c>
      <c r="J75" s="1184">
        <f>'План и исполнение'!E60</f>
        <v>59969.651600000005</v>
      </c>
      <c r="K75" s="1184">
        <f>'План и исполнение'!D59</f>
        <v>86335.730479999998</v>
      </c>
      <c r="L75" s="1184">
        <f>'План и исполнение'!E59</f>
        <v>36613.046150000009</v>
      </c>
      <c r="N75" s="445"/>
      <c r="AF75" s="445"/>
      <c r="AL75" s="445"/>
      <c r="AR75" s="445"/>
    </row>
    <row r="76" spans="1:44" s="85" customFormat="1" x14ac:dyDescent="0.25">
      <c r="A76" s="1186"/>
      <c r="B76" s="1187"/>
      <c r="C76" s="1187"/>
      <c r="D76" s="1188"/>
      <c r="E76" s="1188"/>
      <c r="F76" s="1188"/>
      <c r="G76" s="1185"/>
      <c r="H76" s="1188"/>
      <c r="I76" s="1188"/>
      <c r="J76" s="1188"/>
      <c r="K76" s="1188"/>
      <c r="L76" s="1188"/>
      <c r="N76" s="445"/>
      <c r="AF76" s="445"/>
      <c r="AL76" s="445"/>
      <c r="AR76" s="445"/>
    </row>
    <row r="77" spans="1:44" s="85" customFormat="1" ht="15.6" x14ac:dyDescent="0.3">
      <c r="A77" s="1182" t="s">
        <v>505</v>
      </c>
      <c r="B77" s="1183">
        <f>D77+F77+I77+K77</f>
        <v>11267783.454</v>
      </c>
      <c r="C77" s="1183">
        <f>E77+H77+J77+L77</f>
        <v>6640855.5192800006</v>
      </c>
      <c r="D77" s="1184">
        <f>K33/1000</f>
        <v>5346723.0839999998</v>
      </c>
      <c r="E77" s="1184">
        <f>AO33/1000</f>
        <v>3056955.4728500005</v>
      </c>
      <c r="F77" s="1184">
        <f>K29/1000</f>
        <v>5892257.3700000001</v>
      </c>
      <c r="G77" s="1185"/>
      <c r="H77" s="1184">
        <f>AO29/1000</f>
        <v>3571332.8848999999</v>
      </c>
      <c r="I77" s="1184"/>
      <c r="J77" s="1184"/>
      <c r="K77" s="1184">
        <f>W36/1000</f>
        <v>28803</v>
      </c>
      <c r="L77" s="1184">
        <f>BA36/1000</f>
        <v>12567.161530000001</v>
      </c>
      <c r="N77" s="445"/>
      <c r="AF77" s="445"/>
      <c r="AL77" s="445"/>
      <c r="AR77" s="445"/>
    </row>
    <row r="78" spans="1:44" s="85" customFormat="1" x14ac:dyDescent="0.25">
      <c r="A78" s="1186"/>
      <c r="B78" s="1187"/>
      <c r="C78" s="1187"/>
      <c r="D78" s="1188"/>
      <c r="E78" s="1188"/>
      <c r="F78" s="1188"/>
      <c r="G78" s="1185"/>
      <c r="H78" s="1188"/>
      <c r="I78" s="1188"/>
      <c r="J78" s="1188"/>
      <c r="K78" s="1188"/>
      <c r="L78" s="1188"/>
      <c r="N78" s="445"/>
      <c r="AF78" s="445"/>
      <c r="AL78" s="445"/>
      <c r="AR78" s="445"/>
    </row>
    <row r="79" spans="1:44" s="85" customFormat="1" ht="15.6" x14ac:dyDescent="0.3">
      <c r="A79" s="1182" t="s">
        <v>506</v>
      </c>
      <c r="B79" s="1183">
        <f>D79+F79+I79+K79</f>
        <v>1454752.3314400001</v>
      </c>
      <c r="C79" s="1183">
        <f>E79+H79+J79+L79</f>
        <v>193374.98508000001</v>
      </c>
      <c r="D79" s="1184">
        <f>L33/1000</f>
        <v>1289252.3314400001</v>
      </c>
      <c r="E79" s="1184">
        <f>AP33/1000</f>
        <v>177625.08508000002</v>
      </c>
      <c r="F79" s="1184">
        <f>L29/1000</f>
        <v>0</v>
      </c>
      <c r="G79" s="1185"/>
      <c r="H79" s="1184">
        <f>AP29/1000</f>
        <v>0</v>
      </c>
      <c r="I79" s="1184">
        <f>AD36/1000</f>
        <v>165500</v>
      </c>
      <c r="J79" s="1184">
        <f>BH36/1000</f>
        <v>15749.9</v>
      </c>
      <c r="K79" s="1184">
        <f>X36/1000</f>
        <v>0</v>
      </c>
      <c r="L79" s="1184">
        <f>BB36/1000</f>
        <v>0</v>
      </c>
      <c r="N79" s="445"/>
      <c r="AF79" s="445"/>
      <c r="AL79" s="445"/>
      <c r="AR79" s="445"/>
    </row>
    <row r="80" spans="1:44" s="85" customFormat="1" x14ac:dyDescent="0.25">
      <c r="B80" s="1191"/>
      <c r="C80" s="1191"/>
      <c r="D80" s="1191"/>
      <c r="E80" s="1191"/>
      <c r="F80" s="1191"/>
      <c r="G80" s="1185"/>
      <c r="H80" s="1191"/>
      <c r="I80" s="1191"/>
      <c r="J80" s="1191"/>
      <c r="K80" s="1191"/>
      <c r="L80" s="1191"/>
      <c r="N80" s="445"/>
      <c r="AF80" s="445"/>
      <c r="AL80" s="445"/>
      <c r="AR80" s="445"/>
    </row>
    <row r="81" spans="2:44" s="85" customFormat="1" ht="15.6" x14ac:dyDescent="0.3">
      <c r="B81" s="1192">
        <f t="shared" ref="B81:C81" si="43">B66-B68-B73-B77-B79</f>
        <v>0</v>
      </c>
      <c r="C81" s="1192">
        <f t="shared" si="43"/>
        <v>-9.3132257461547852E-10</v>
      </c>
      <c r="D81" s="1192">
        <f>D66-D68-D73-D77-D79</f>
        <v>0</v>
      </c>
      <c r="E81" s="1192">
        <f t="shared" ref="E81:F81" si="44">E66-E68-E73-E77-E79</f>
        <v>-1.3096723705530167E-9</v>
      </c>
      <c r="F81" s="1192">
        <f t="shared" si="44"/>
        <v>-9.3132257461547852E-10</v>
      </c>
      <c r="G81" s="1185"/>
      <c r="H81" s="1192">
        <f>H66-H68-H73-H77-H79</f>
        <v>4.6566128730773926E-10</v>
      </c>
      <c r="I81" s="1192">
        <f>I66-I68-I73-I77-I79</f>
        <v>0</v>
      </c>
      <c r="J81" s="1192">
        <f>J66-J68-J73-J77-J79</f>
        <v>-6.3664629124104977E-11</v>
      </c>
      <c r="K81" s="1192">
        <f>K66-K68-K73-K77-K79</f>
        <v>3.4924596548080444E-10</v>
      </c>
      <c r="L81" s="1192">
        <f>L66-L68-L73-L77-L79</f>
        <v>-1.6370904631912708E-10</v>
      </c>
      <c r="N81" s="445"/>
      <c r="AF81" s="445"/>
      <c r="AL81" s="445"/>
      <c r="AR81" s="445"/>
    </row>
  </sheetData>
  <mergeCells count="36">
    <mergeCell ref="BK9:BN9"/>
    <mergeCell ref="AR9:AR10"/>
    <mergeCell ref="AX8:BC8"/>
    <mergeCell ref="AS9:AW9"/>
    <mergeCell ref="A53:K53"/>
    <mergeCell ref="H8:S8"/>
    <mergeCell ref="A51:L51"/>
    <mergeCell ref="A48:L48"/>
    <mergeCell ref="A52:L52"/>
    <mergeCell ref="A44:K44"/>
    <mergeCell ref="Z8:AE8"/>
    <mergeCell ref="N9:N10"/>
    <mergeCell ref="Z9:Z10"/>
    <mergeCell ref="T9:T10"/>
    <mergeCell ref="A59:L59"/>
    <mergeCell ref="O9:S9"/>
    <mergeCell ref="B8:B10"/>
    <mergeCell ref="AA9:AE9"/>
    <mergeCell ref="A6:A10"/>
    <mergeCell ref="I9:M9"/>
    <mergeCell ref="AF6:BI7"/>
    <mergeCell ref="U9:Y9"/>
    <mergeCell ref="BD9:BD10"/>
    <mergeCell ref="BD8:BI8"/>
    <mergeCell ref="AY9:BC9"/>
    <mergeCell ref="AM9:AQ9"/>
    <mergeCell ref="BE9:BI9"/>
    <mergeCell ref="AL9:AL10"/>
    <mergeCell ref="AX9:AX10"/>
    <mergeCell ref="AL8:AW8"/>
    <mergeCell ref="AG8:AK9"/>
    <mergeCell ref="T8:Y8"/>
    <mergeCell ref="AF8:AF10"/>
    <mergeCell ref="B6:AE7"/>
    <mergeCell ref="H9:H10"/>
    <mergeCell ref="C8:G9"/>
  </mergeCells>
  <phoneticPr fontId="0" type="noConversion"/>
  <pageMargins left="0.78740157480314965" right="0.39370078740157483" top="0.78740157480314965" bottom="0.59055118110236227" header="0.51181102362204722" footer="0.51181102362204722"/>
  <pageSetup paperSize="8" scale="80" fitToWidth="3" orientation="landscape" r:id="rId1"/>
  <headerFooter alignWithMargins="0">
    <oddFooter>&amp;L&amp;P&amp;R&amp;F&amp;A</oddFooter>
  </headerFooter>
  <colBreaks count="4" manualBreakCount="4">
    <brk id="13" max="1048575" man="1"/>
    <brk id="25" max="1048575" man="1"/>
    <brk id="37" max="1048575" man="1"/>
    <brk id="4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2:DG40"/>
  <sheetViews>
    <sheetView topLeftCell="A2" zoomScale="50" zoomScaleNormal="50" zoomScaleSheetLayoutView="50" workbookViewId="0">
      <pane xSplit="3" ySplit="9" topLeftCell="D23" activePane="bottomRight" state="frozen"/>
      <selection activeCell="A2" sqref="A2"/>
      <selection pane="topRight" activeCell="D2" sqref="D2"/>
      <selection pane="bottomLeft" activeCell="A11" sqref="A11"/>
      <selection pane="bottomRight" activeCell="AF38" sqref="AF38:AG38"/>
    </sheetView>
  </sheetViews>
  <sheetFormatPr defaultColWidth="9.109375" defaultRowHeight="15.6" x14ac:dyDescent="0.3"/>
  <cols>
    <col min="1" max="1" width="24.109375" style="88" customWidth="1"/>
    <col min="2" max="2" width="24.5546875" style="88" customWidth="1"/>
    <col min="3" max="3" width="23.88671875" style="88" bestFit="1" customWidth="1"/>
    <col min="4" max="4" width="24.109375" style="88" customWidth="1"/>
    <col min="5" max="7" width="23.44140625" style="88" customWidth="1"/>
    <col min="8" max="11" width="24.6640625" style="88" customWidth="1"/>
    <col min="12" max="13" width="31.33203125" style="88" customWidth="1"/>
    <col min="14" max="15" width="26.88671875" style="88" customWidth="1"/>
    <col min="16" max="17" width="24.6640625" style="88" customWidth="1"/>
    <col min="18" max="25" width="26.88671875" style="88" customWidth="1"/>
    <col min="26" max="43" width="24.6640625" style="88" customWidth="1"/>
    <col min="44" max="44" width="26.88671875" style="88" customWidth="1"/>
    <col min="45" max="45" width="24.6640625" style="88" customWidth="1"/>
    <col min="46" max="47" width="26.88671875" style="88" customWidth="1"/>
    <col min="48" max="49" width="36.44140625" style="88" customWidth="1"/>
    <col min="50" max="53" width="25.109375" style="88" customWidth="1"/>
    <col min="54" max="55" width="32.109375" style="88" customWidth="1"/>
    <col min="56" max="57" width="27.88671875" style="88" customWidth="1"/>
    <col min="58" max="59" width="28.88671875" style="88" customWidth="1"/>
    <col min="60" max="60" width="25.5546875" style="88" customWidth="1"/>
    <col min="61" max="61" width="28.88671875" style="88" customWidth="1"/>
    <col min="62" max="65" width="25.5546875" style="88" customWidth="1"/>
    <col min="66" max="67" width="34.44140625" style="88" customWidth="1"/>
    <col min="68" max="69" width="25.5546875" style="88" customWidth="1"/>
    <col min="70" max="70" width="24.109375" style="88" customWidth="1"/>
    <col min="71" max="71" width="24.5546875" style="88" customWidth="1"/>
    <col min="72" max="72" width="22.88671875" style="88" customWidth="1"/>
    <col min="73" max="77" width="20.44140625" style="88" customWidth="1"/>
    <col min="78" max="83" width="20.5546875" style="88" customWidth="1"/>
    <col min="84" max="87" width="21.88671875" style="88" customWidth="1"/>
    <col min="88" max="88" width="23.5546875" style="88" customWidth="1"/>
    <col min="89" max="89" width="22.88671875" style="88" customWidth="1"/>
    <col min="90" max="95" width="23.88671875" style="88" customWidth="1"/>
    <col min="96" max="105" width="25.5546875" style="88" customWidth="1"/>
    <col min="106" max="106" width="9.109375" style="88"/>
    <col min="107" max="107" width="14.5546875" style="88" bestFit="1" customWidth="1"/>
    <col min="108" max="108" width="13.109375" style="88" bestFit="1" customWidth="1"/>
    <col min="109" max="109" width="9.109375" style="88"/>
    <col min="110" max="110" width="24.109375" style="1411" bestFit="1" customWidth="1"/>
    <col min="111" max="111" width="22.33203125" style="88" bestFit="1" customWidth="1"/>
    <col min="112" max="16384" width="9.109375" style="88"/>
  </cols>
  <sheetData>
    <row r="2" spans="1:111" ht="19.2" x14ac:dyDescent="0.35">
      <c r="E2" s="86" t="s">
        <v>264</v>
      </c>
      <c r="F2" s="86"/>
      <c r="G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row>
    <row r="3" spans="1:111" ht="19.2" x14ac:dyDescent="0.35">
      <c r="F3" s="510" t="str">
        <f>'Район  и  поселения'!E3</f>
        <v>ПО  СОСТОЯНИЮ  НА  1  ИЮЛЯ  2020  ГОДА</v>
      </c>
    </row>
    <row r="4" spans="1:111" x14ac:dyDescent="0.3">
      <c r="B4" s="89"/>
      <c r="C4" s="89"/>
    </row>
    <row r="5" spans="1:111" ht="17.399999999999999" thickBot="1" x14ac:dyDescent="0.35">
      <c r="D5" s="90"/>
      <c r="CR5" s="140"/>
      <c r="CX5" s="1101"/>
      <c r="CY5" s="1101"/>
      <c r="CZ5" s="1101" t="s">
        <v>20</v>
      </c>
      <c r="DA5" s="1101"/>
    </row>
    <row r="6" spans="1:111" ht="27" customHeight="1" thickBot="1" x14ac:dyDescent="0.35">
      <c r="A6" s="1850" t="s">
        <v>64</v>
      </c>
      <c r="B6" s="1881" t="s">
        <v>1</v>
      </c>
      <c r="C6" s="1882"/>
      <c r="D6" s="1279"/>
      <c r="E6" s="1280"/>
      <c r="F6" s="1280"/>
      <c r="G6" s="1280"/>
      <c r="H6" s="1280"/>
      <c r="I6" s="1280"/>
      <c r="J6" s="1280"/>
      <c r="K6" s="1280" t="s">
        <v>38</v>
      </c>
      <c r="L6" s="1280"/>
      <c r="M6" s="1280"/>
      <c r="N6" s="1280"/>
      <c r="O6" s="1280"/>
      <c r="P6" s="1280"/>
      <c r="Q6" s="1280"/>
      <c r="R6" s="1280"/>
      <c r="S6" s="1280"/>
      <c r="T6" s="1280"/>
      <c r="U6" s="1280"/>
      <c r="V6" s="1280"/>
      <c r="W6" s="1280"/>
      <c r="X6" s="1280"/>
      <c r="Y6" s="1280"/>
      <c r="Z6" s="1280"/>
      <c r="AA6" s="1280"/>
      <c r="AB6" s="1280"/>
      <c r="AC6" s="1280"/>
      <c r="AD6" s="1280"/>
      <c r="AE6" s="1280"/>
      <c r="AF6" s="1280"/>
      <c r="AG6" s="1280"/>
      <c r="AH6" s="1280"/>
      <c r="AI6" s="1280"/>
      <c r="AJ6" s="1280"/>
      <c r="AK6" s="1280"/>
      <c r="AL6" s="1280"/>
      <c r="AM6" s="1280"/>
      <c r="AN6" s="1280"/>
      <c r="AO6" s="1280"/>
      <c r="AP6" s="1280"/>
      <c r="AQ6" s="1280"/>
      <c r="AR6" s="1280"/>
      <c r="AS6" s="1280"/>
      <c r="AT6" s="1280"/>
      <c r="AU6" s="1280"/>
      <c r="AV6" s="1280"/>
      <c r="AW6" s="1280"/>
      <c r="AX6" s="1280"/>
      <c r="AY6" s="1280"/>
      <c r="AZ6" s="1280"/>
      <c r="BA6" s="1280"/>
      <c r="BB6" s="1280"/>
      <c r="BC6" s="1280"/>
      <c r="BD6" s="1280"/>
      <c r="BE6" s="1280"/>
      <c r="BF6" s="1280"/>
      <c r="BG6" s="1280"/>
      <c r="BH6" s="1280"/>
      <c r="BI6" s="1280"/>
      <c r="BJ6" s="1280"/>
      <c r="BK6" s="1280"/>
      <c r="BL6" s="1280"/>
      <c r="BM6" s="1280"/>
      <c r="BN6" s="1280"/>
      <c r="BO6" s="1280"/>
      <c r="BP6" s="1280"/>
      <c r="BQ6" s="1280"/>
      <c r="BR6" s="1280"/>
      <c r="BS6" s="1280"/>
      <c r="BT6" s="1280"/>
      <c r="BU6" s="1280"/>
      <c r="BV6" s="1280"/>
      <c r="BW6" s="1280"/>
      <c r="BX6" s="1280"/>
      <c r="BY6" s="1280"/>
      <c r="BZ6" s="1280"/>
      <c r="CA6" s="1280"/>
      <c r="CB6" s="1280"/>
      <c r="CC6" s="1280"/>
      <c r="CD6" s="1280"/>
      <c r="CE6" s="1280"/>
      <c r="CF6" s="1280"/>
      <c r="CG6" s="1280"/>
      <c r="CH6" s="1280"/>
      <c r="CI6" s="1280"/>
      <c r="CJ6" s="1280"/>
      <c r="CK6" s="1280"/>
      <c r="CL6" s="1280"/>
      <c r="CM6" s="1280"/>
      <c r="CN6" s="1280"/>
      <c r="CO6" s="1280"/>
      <c r="CP6" s="1280"/>
      <c r="CQ6" s="1280"/>
      <c r="CR6" s="1280"/>
      <c r="CS6" s="1280"/>
      <c r="CT6" s="1280"/>
      <c r="CU6" s="1280"/>
      <c r="CV6" s="1280"/>
      <c r="CW6" s="1280"/>
      <c r="CX6" s="1280"/>
      <c r="CY6" s="1280"/>
      <c r="CZ6" s="1280"/>
      <c r="DA6" s="1281"/>
    </row>
    <row r="7" spans="1:111" ht="47.1" customHeight="1" thickBot="1" x14ac:dyDescent="0.35">
      <c r="A7" s="1851"/>
      <c r="B7" s="1883"/>
      <c r="C7" s="1884"/>
      <c r="D7" s="1844" t="s">
        <v>693</v>
      </c>
      <c r="E7" s="1845"/>
      <c r="F7" s="1845"/>
      <c r="G7" s="1845"/>
      <c r="H7" s="1845"/>
      <c r="I7" s="1845"/>
      <c r="J7" s="1845"/>
      <c r="K7" s="1845"/>
      <c r="L7" s="1845"/>
      <c r="M7" s="1845"/>
      <c r="N7" s="1271"/>
      <c r="O7" s="1271"/>
      <c r="P7" s="1271"/>
      <c r="Q7" s="1271"/>
      <c r="R7" s="1271"/>
      <c r="S7" s="1271"/>
      <c r="T7" s="1271"/>
      <c r="U7" s="1271"/>
      <c r="V7" s="1271"/>
      <c r="W7" s="1271"/>
      <c r="X7" s="1271"/>
      <c r="Y7" s="1271"/>
      <c r="Z7" s="1271"/>
      <c r="AA7" s="1271"/>
      <c r="AB7" s="1271"/>
      <c r="AC7" s="1271"/>
      <c r="AD7" s="1271"/>
      <c r="AE7" s="1271"/>
      <c r="AF7" s="1271"/>
      <c r="AG7" s="1271"/>
      <c r="AH7" s="1271"/>
      <c r="AI7" s="1271"/>
      <c r="AJ7" s="1271"/>
      <c r="AK7" s="1271"/>
      <c r="AL7" s="1271"/>
      <c r="AM7" s="1271"/>
      <c r="AN7" s="1271"/>
      <c r="AO7" s="1271"/>
      <c r="AP7" s="1271"/>
      <c r="AQ7" s="1271"/>
      <c r="AR7" s="1271"/>
      <c r="AS7" s="1271"/>
      <c r="AT7" s="1271"/>
      <c r="AU7" s="1271"/>
      <c r="AV7" s="1271"/>
      <c r="AW7" s="1271"/>
      <c r="AX7" s="1271"/>
      <c r="AY7" s="1271"/>
      <c r="AZ7" s="1271"/>
      <c r="BA7" s="1271"/>
      <c r="BB7" s="1271"/>
      <c r="BC7" s="1271"/>
      <c r="BD7" s="1271"/>
      <c r="BE7" s="1271"/>
      <c r="BF7" s="1271"/>
      <c r="BG7" s="1271"/>
      <c r="BH7" s="1271"/>
      <c r="BI7" s="1271"/>
      <c r="BJ7" s="1271"/>
      <c r="BK7" s="1271"/>
      <c r="BL7" s="1271"/>
      <c r="BM7" s="1271"/>
      <c r="BN7" s="1271"/>
      <c r="BO7" s="1271"/>
      <c r="BP7" s="1271"/>
      <c r="BQ7" s="1271"/>
      <c r="BR7" s="1897" t="s">
        <v>692</v>
      </c>
      <c r="BS7" s="1898"/>
      <c r="BT7" s="1898"/>
      <c r="BU7" s="1898"/>
      <c r="BV7" s="1898"/>
      <c r="BW7" s="1898"/>
      <c r="BX7" s="1898"/>
      <c r="BY7" s="1898"/>
      <c r="BZ7" s="1898"/>
      <c r="CA7" s="1898"/>
      <c r="CB7" s="1898"/>
      <c r="CC7" s="1898"/>
      <c r="CD7" s="1898"/>
      <c r="CE7" s="1898"/>
      <c r="CF7" s="1898"/>
      <c r="CG7" s="1898"/>
      <c r="CH7" s="1898"/>
      <c r="CI7" s="1899"/>
      <c r="CJ7" s="1863" t="s">
        <v>446</v>
      </c>
      <c r="CK7" s="1864"/>
      <c r="CL7" s="1864"/>
      <c r="CM7" s="1864"/>
      <c r="CN7" s="1864"/>
      <c r="CO7" s="1864"/>
      <c r="CP7" s="1864"/>
      <c r="CQ7" s="1864"/>
      <c r="CR7" s="1864"/>
      <c r="CS7" s="1864"/>
      <c r="CT7" s="1864"/>
      <c r="CU7" s="1864"/>
      <c r="CV7" s="1864"/>
      <c r="CW7" s="1864"/>
      <c r="CX7" s="1864"/>
      <c r="CY7" s="1864"/>
      <c r="CZ7" s="1864"/>
      <c r="DA7" s="1865"/>
    </row>
    <row r="8" spans="1:111" ht="99.6" customHeight="1" thickBot="1" x14ac:dyDescent="0.35">
      <c r="A8" s="1851"/>
      <c r="B8" s="1883"/>
      <c r="C8" s="1885"/>
      <c r="D8" s="1851" t="s">
        <v>16</v>
      </c>
      <c r="E8" s="1851" t="s">
        <v>17</v>
      </c>
      <c r="F8" s="1887" t="s">
        <v>821</v>
      </c>
      <c r="G8" s="1888"/>
      <c r="H8" s="1889" t="s">
        <v>527</v>
      </c>
      <c r="I8" s="1889"/>
      <c r="J8" s="1887" t="s">
        <v>576</v>
      </c>
      <c r="K8" s="1888"/>
      <c r="L8" s="1858" t="s">
        <v>683</v>
      </c>
      <c r="M8" s="1860"/>
      <c r="N8" s="1460"/>
      <c r="O8" s="1461"/>
      <c r="P8" s="1889" t="s">
        <v>603</v>
      </c>
      <c r="Q8" s="1889"/>
      <c r="R8" s="1858" t="s">
        <v>450</v>
      </c>
      <c r="S8" s="1860"/>
      <c r="T8" s="1860"/>
      <c r="U8" s="1859"/>
      <c r="V8" s="1858" t="s">
        <v>481</v>
      </c>
      <c r="W8" s="1859"/>
      <c r="X8" s="1854" t="s">
        <v>604</v>
      </c>
      <c r="Y8" s="1855"/>
      <c r="Z8" s="1854" t="s">
        <v>605</v>
      </c>
      <c r="AA8" s="1855"/>
      <c r="AB8" s="1854" t="s">
        <v>779</v>
      </c>
      <c r="AC8" s="1855"/>
      <c r="AD8" s="1854" t="s">
        <v>785</v>
      </c>
      <c r="AE8" s="1855"/>
      <c r="AF8" s="1852" t="s">
        <v>724</v>
      </c>
      <c r="AG8" s="1862"/>
      <c r="AH8" s="1862"/>
      <c r="AI8" s="1853"/>
      <c r="AJ8" s="1854" t="s">
        <v>853</v>
      </c>
      <c r="AK8" s="1855"/>
      <c r="AL8" s="1854" t="s">
        <v>901</v>
      </c>
      <c r="AM8" s="1855"/>
      <c r="AN8" s="1854" t="s">
        <v>440</v>
      </c>
      <c r="AO8" s="1855"/>
      <c r="AP8" s="1854" t="s">
        <v>670</v>
      </c>
      <c r="AQ8" s="1855"/>
      <c r="AR8" s="1852" t="s">
        <v>553</v>
      </c>
      <c r="AS8" s="1853"/>
      <c r="AT8" s="1852" t="s">
        <v>387</v>
      </c>
      <c r="AU8" s="1862"/>
      <c r="AV8" s="1595"/>
      <c r="AW8" s="1596"/>
      <c r="AX8" s="1852" t="s">
        <v>384</v>
      </c>
      <c r="AY8" s="1862"/>
      <c r="AZ8" s="1862"/>
      <c r="BA8" s="1853"/>
      <c r="BB8" s="1856" t="s">
        <v>664</v>
      </c>
      <c r="BC8" s="1861"/>
      <c r="BD8" s="1861"/>
      <c r="BE8" s="1857"/>
      <c r="BF8" s="1852" t="s">
        <v>656</v>
      </c>
      <c r="BG8" s="1890"/>
      <c r="BH8" s="1858" t="s">
        <v>631</v>
      </c>
      <c r="BI8" s="1860"/>
      <c r="BJ8" s="1860"/>
      <c r="BK8" s="1860"/>
      <c r="BL8" s="1860"/>
      <c r="BM8" s="1859"/>
      <c r="BN8" s="1852" t="s">
        <v>602</v>
      </c>
      <c r="BO8" s="1853"/>
      <c r="BP8" s="1858" t="s">
        <v>628</v>
      </c>
      <c r="BQ8" s="1860"/>
      <c r="BR8" s="1887" t="s">
        <v>16</v>
      </c>
      <c r="BS8" s="1850" t="s">
        <v>17</v>
      </c>
      <c r="BT8" s="1854" t="s">
        <v>441</v>
      </c>
      <c r="BU8" s="1855"/>
      <c r="BV8" s="1854" t="s">
        <v>442</v>
      </c>
      <c r="BW8" s="1855"/>
      <c r="BX8" s="1854" t="s">
        <v>443</v>
      </c>
      <c r="BY8" s="1855"/>
      <c r="BZ8" s="1854" t="s">
        <v>445</v>
      </c>
      <c r="CA8" s="1855"/>
      <c r="CB8" s="1866" t="s">
        <v>354</v>
      </c>
      <c r="CC8" s="1867"/>
      <c r="CD8" s="1893" t="s">
        <v>565</v>
      </c>
      <c r="CE8" s="1894"/>
      <c r="CF8" s="1858" t="s">
        <v>444</v>
      </c>
      <c r="CG8" s="1860"/>
      <c r="CH8" s="1860"/>
      <c r="CI8" s="1859"/>
      <c r="CJ8" s="1889" t="s">
        <v>16</v>
      </c>
      <c r="CK8" s="1850" t="s">
        <v>17</v>
      </c>
      <c r="CL8" s="1874" t="s">
        <v>350</v>
      </c>
      <c r="CM8" s="1875"/>
      <c r="CN8" s="1878" t="s">
        <v>861</v>
      </c>
      <c r="CO8" s="1879"/>
      <c r="CP8" s="1878" t="s">
        <v>740</v>
      </c>
      <c r="CQ8" s="1879"/>
      <c r="CR8" s="1868" t="s">
        <v>541</v>
      </c>
      <c r="CS8" s="1869"/>
      <c r="CT8" s="1866" t="s">
        <v>750</v>
      </c>
      <c r="CU8" s="1867"/>
      <c r="CV8" s="1878" t="s">
        <v>830</v>
      </c>
      <c r="CW8" s="1879"/>
      <c r="CX8" s="1866" t="s">
        <v>583</v>
      </c>
      <c r="CY8" s="1867"/>
      <c r="CZ8" s="1726" t="s">
        <v>589</v>
      </c>
      <c r="DA8" s="1727"/>
    </row>
    <row r="9" spans="1:111" ht="177.6" customHeight="1" thickBot="1" x14ac:dyDescent="0.35">
      <c r="A9" s="1851"/>
      <c r="B9" s="1844"/>
      <c r="C9" s="1886"/>
      <c r="D9" s="1851"/>
      <c r="E9" s="1851"/>
      <c r="F9" s="1856"/>
      <c r="G9" s="1857"/>
      <c r="H9" s="1861"/>
      <c r="I9" s="1861"/>
      <c r="J9" s="1856"/>
      <c r="K9" s="1857"/>
      <c r="L9" s="1856" t="s">
        <v>335</v>
      </c>
      <c r="M9" s="1857"/>
      <c r="N9" s="1856" t="s">
        <v>256</v>
      </c>
      <c r="O9" s="1857"/>
      <c r="P9" s="1861"/>
      <c r="Q9" s="1861"/>
      <c r="R9" s="1852" t="s">
        <v>534</v>
      </c>
      <c r="S9" s="1853"/>
      <c r="T9" s="1862" t="s">
        <v>536</v>
      </c>
      <c r="U9" s="1853"/>
      <c r="V9" s="1852" t="s">
        <v>538</v>
      </c>
      <c r="W9" s="1853"/>
      <c r="X9" s="1856"/>
      <c r="Y9" s="1857"/>
      <c r="Z9" s="1856"/>
      <c r="AA9" s="1857"/>
      <c r="AB9" s="1856"/>
      <c r="AC9" s="1857"/>
      <c r="AD9" s="1856"/>
      <c r="AE9" s="1857"/>
      <c r="AF9" s="1852" t="s">
        <v>774</v>
      </c>
      <c r="AG9" s="1853"/>
      <c r="AH9" s="1852" t="s">
        <v>773</v>
      </c>
      <c r="AI9" s="1853"/>
      <c r="AJ9" s="1856"/>
      <c r="AK9" s="1857"/>
      <c r="AL9" s="1856"/>
      <c r="AM9" s="1857"/>
      <c r="AN9" s="1856"/>
      <c r="AO9" s="1857"/>
      <c r="AP9" s="1856"/>
      <c r="AQ9" s="1857"/>
      <c r="AR9" s="1852" t="s">
        <v>558</v>
      </c>
      <c r="AS9" s="1853"/>
      <c r="AT9" s="1856" t="s">
        <v>255</v>
      </c>
      <c r="AU9" s="1857"/>
      <c r="AV9" s="1856" t="s">
        <v>331</v>
      </c>
      <c r="AW9" s="1857"/>
      <c r="AX9" s="1852" t="s">
        <v>730</v>
      </c>
      <c r="AY9" s="1853"/>
      <c r="AZ9" s="1852" t="s">
        <v>731</v>
      </c>
      <c r="BA9" s="1853"/>
      <c r="BB9" s="1856" t="s">
        <v>271</v>
      </c>
      <c r="BC9" s="1857"/>
      <c r="BD9" s="1852" t="s">
        <v>318</v>
      </c>
      <c r="BE9" s="1853"/>
      <c r="BF9" s="1852" t="s">
        <v>612</v>
      </c>
      <c r="BG9" s="1900"/>
      <c r="BH9" s="1852" t="s">
        <v>627</v>
      </c>
      <c r="BI9" s="1853"/>
      <c r="BJ9" s="1852" t="s">
        <v>630</v>
      </c>
      <c r="BK9" s="1853"/>
      <c r="BL9" s="1852" t="s">
        <v>633</v>
      </c>
      <c r="BM9" s="1853"/>
      <c r="BN9" s="1852" t="s">
        <v>606</v>
      </c>
      <c r="BO9" s="1853"/>
      <c r="BP9" s="1856" t="s">
        <v>265</v>
      </c>
      <c r="BQ9" s="1861"/>
      <c r="BR9" s="1854"/>
      <c r="BS9" s="1851"/>
      <c r="BT9" s="1856"/>
      <c r="BU9" s="1857"/>
      <c r="BV9" s="1856"/>
      <c r="BW9" s="1857"/>
      <c r="BX9" s="1856"/>
      <c r="BY9" s="1857"/>
      <c r="BZ9" s="1856"/>
      <c r="CA9" s="1857"/>
      <c r="CB9" s="1868"/>
      <c r="CC9" s="1869"/>
      <c r="CD9" s="1895"/>
      <c r="CE9" s="1896"/>
      <c r="CF9" s="1858" t="s">
        <v>920</v>
      </c>
      <c r="CG9" s="1859"/>
      <c r="CH9" s="1858" t="s">
        <v>919</v>
      </c>
      <c r="CI9" s="1859"/>
      <c r="CJ9" s="1889"/>
      <c r="CK9" s="1851"/>
      <c r="CL9" s="1876"/>
      <c r="CM9" s="1877"/>
      <c r="CN9" s="1868"/>
      <c r="CO9" s="1869"/>
      <c r="CP9" s="1872" t="s">
        <v>738</v>
      </c>
      <c r="CQ9" s="1873"/>
      <c r="CR9" s="1872" t="s">
        <v>540</v>
      </c>
      <c r="CS9" s="1873"/>
      <c r="CT9" s="1868"/>
      <c r="CU9" s="1869"/>
      <c r="CV9" s="1868"/>
      <c r="CW9" s="1869"/>
      <c r="CX9" s="1868"/>
      <c r="CY9" s="1869"/>
      <c r="CZ9" s="1673"/>
      <c r="DA9" s="1679"/>
    </row>
    <row r="10" spans="1:111" ht="21" customHeight="1" thickBot="1" x14ac:dyDescent="0.35">
      <c r="A10" s="1880"/>
      <c r="B10" s="94" t="s">
        <v>156</v>
      </c>
      <c r="C10" s="94" t="s">
        <v>157</v>
      </c>
      <c r="D10" s="1880"/>
      <c r="E10" s="1880"/>
      <c r="F10" s="93" t="s">
        <v>156</v>
      </c>
      <c r="G10" s="91" t="s">
        <v>157</v>
      </c>
      <c r="H10" s="1459" t="s">
        <v>156</v>
      </c>
      <c r="I10" s="93" t="s">
        <v>157</v>
      </c>
      <c r="J10" s="93" t="s">
        <v>156</v>
      </c>
      <c r="K10" s="91" t="s">
        <v>157</v>
      </c>
      <c r="L10" s="93" t="s">
        <v>156</v>
      </c>
      <c r="M10" s="91" t="s">
        <v>157</v>
      </c>
      <c r="N10" s="93" t="s">
        <v>156</v>
      </c>
      <c r="O10" s="93" t="s">
        <v>157</v>
      </c>
      <c r="P10" s="91" t="s">
        <v>156</v>
      </c>
      <c r="Q10" s="93" t="s">
        <v>157</v>
      </c>
      <c r="R10" s="93" t="s">
        <v>156</v>
      </c>
      <c r="S10" s="91" t="s">
        <v>157</v>
      </c>
      <c r="T10" s="95" t="s">
        <v>156</v>
      </c>
      <c r="U10" s="91" t="s">
        <v>157</v>
      </c>
      <c r="V10" s="93" t="s">
        <v>156</v>
      </c>
      <c r="W10" s="91" t="s">
        <v>157</v>
      </c>
      <c r="X10" s="93" t="s">
        <v>156</v>
      </c>
      <c r="Y10" s="91" t="s">
        <v>157</v>
      </c>
      <c r="Z10" s="93" t="s">
        <v>156</v>
      </c>
      <c r="AA10" s="91" t="s">
        <v>157</v>
      </c>
      <c r="AB10" s="93" t="s">
        <v>156</v>
      </c>
      <c r="AC10" s="91" t="s">
        <v>157</v>
      </c>
      <c r="AD10" s="93" t="s">
        <v>156</v>
      </c>
      <c r="AE10" s="91" t="s">
        <v>157</v>
      </c>
      <c r="AF10" s="93" t="s">
        <v>156</v>
      </c>
      <c r="AG10" s="91" t="s">
        <v>157</v>
      </c>
      <c r="AH10" s="93" t="s">
        <v>156</v>
      </c>
      <c r="AI10" s="91" t="s">
        <v>157</v>
      </c>
      <c r="AJ10" s="93" t="s">
        <v>156</v>
      </c>
      <c r="AK10" s="91" t="s">
        <v>157</v>
      </c>
      <c r="AL10" s="93" t="s">
        <v>156</v>
      </c>
      <c r="AM10" s="91" t="s">
        <v>157</v>
      </c>
      <c r="AN10" s="93" t="s">
        <v>156</v>
      </c>
      <c r="AO10" s="91" t="s">
        <v>157</v>
      </c>
      <c r="AP10" s="93" t="s">
        <v>156</v>
      </c>
      <c r="AQ10" s="91" t="s">
        <v>157</v>
      </c>
      <c r="AR10" s="93" t="s">
        <v>156</v>
      </c>
      <c r="AS10" s="91" t="s">
        <v>157</v>
      </c>
      <c r="AT10" s="95" t="s">
        <v>156</v>
      </c>
      <c r="AU10" s="91" t="s">
        <v>157</v>
      </c>
      <c r="AV10" s="93" t="s">
        <v>156</v>
      </c>
      <c r="AW10" s="91" t="s">
        <v>157</v>
      </c>
      <c r="AX10" s="93" t="s">
        <v>156</v>
      </c>
      <c r="AY10" s="93" t="s">
        <v>157</v>
      </c>
      <c r="AZ10" s="93" t="s">
        <v>156</v>
      </c>
      <c r="BA10" s="91" t="s">
        <v>157</v>
      </c>
      <c r="BB10" s="93" t="s">
        <v>156</v>
      </c>
      <c r="BC10" s="91" t="s">
        <v>157</v>
      </c>
      <c r="BD10" s="93" t="s">
        <v>156</v>
      </c>
      <c r="BE10" s="91" t="s">
        <v>157</v>
      </c>
      <c r="BF10" s="93" t="s">
        <v>156</v>
      </c>
      <c r="BG10" s="91" t="s">
        <v>157</v>
      </c>
      <c r="BH10" s="93" t="s">
        <v>156</v>
      </c>
      <c r="BI10" s="91" t="s">
        <v>157</v>
      </c>
      <c r="BJ10" s="93" t="s">
        <v>156</v>
      </c>
      <c r="BK10" s="91" t="s">
        <v>157</v>
      </c>
      <c r="BL10" s="95" t="s">
        <v>156</v>
      </c>
      <c r="BM10" s="91" t="s">
        <v>157</v>
      </c>
      <c r="BN10" s="92" t="s">
        <v>156</v>
      </c>
      <c r="BO10" s="92" t="s">
        <v>157</v>
      </c>
      <c r="BP10" s="93" t="s">
        <v>156</v>
      </c>
      <c r="BQ10" s="93" t="s">
        <v>157</v>
      </c>
      <c r="BR10" s="1854"/>
      <c r="BS10" s="1851"/>
      <c r="BT10" s="93" t="s">
        <v>156</v>
      </c>
      <c r="BU10" s="91" t="s">
        <v>157</v>
      </c>
      <c r="BV10" s="92" t="s">
        <v>156</v>
      </c>
      <c r="BW10" s="92" t="s">
        <v>157</v>
      </c>
      <c r="BX10" s="93" t="s">
        <v>156</v>
      </c>
      <c r="BY10" s="91" t="s">
        <v>157</v>
      </c>
      <c r="BZ10" s="95" t="s">
        <v>156</v>
      </c>
      <c r="CA10" s="91" t="s">
        <v>157</v>
      </c>
      <c r="CB10" s="95" t="s">
        <v>156</v>
      </c>
      <c r="CC10" s="91" t="s">
        <v>157</v>
      </c>
      <c r="CD10" s="93" t="s">
        <v>156</v>
      </c>
      <c r="CE10" s="91" t="s">
        <v>157</v>
      </c>
      <c r="CF10" s="93" t="s">
        <v>156</v>
      </c>
      <c r="CG10" s="91" t="s">
        <v>157</v>
      </c>
      <c r="CH10" s="93" t="s">
        <v>156</v>
      </c>
      <c r="CI10" s="91" t="s">
        <v>157</v>
      </c>
      <c r="CJ10" s="1889"/>
      <c r="CK10" s="1851"/>
      <c r="CL10" s="93" t="s">
        <v>156</v>
      </c>
      <c r="CM10" s="93" t="s">
        <v>157</v>
      </c>
      <c r="CN10" s="93" t="s">
        <v>156</v>
      </c>
      <c r="CO10" s="91" t="s">
        <v>157</v>
      </c>
      <c r="CP10" s="93" t="s">
        <v>156</v>
      </c>
      <c r="CQ10" s="93" t="s">
        <v>157</v>
      </c>
      <c r="CR10" s="93" t="s">
        <v>156</v>
      </c>
      <c r="CS10" s="91" t="s">
        <v>157</v>
      </c>
      <c r="CT10" s="93" t="s">
        <v>156</v>
      </c>
      <c r="CU10" s="91" t="s">
        <v>157</v>
      </c>
      <c r="CV10" s="93" t="s">
        <v>156</v>
      </c>
      <c r="CW10" s="91" t="s">
        <v>157</v>
      </c>
      <c r="CX10" s="93" t="s">
        <v>156</v>
      </c>
      <c r="CY10" s="91" t="s">
        <v>157</v>
      </c>
      <c r="CZ10" s="93" t="s">
        <v>156</v>
      </c>
      <c r="DA10" s="91" t="s">
        <v>157</v>
      </c>
      <c r="DC10" s="1891" t="s">
        <v>317</v>
      </c>
      <c r="DD10" s="1892"/>
    </row>
    <row r="11" spans="1:111" ht="25.5" customHeight="1" x14ac:dyDescent="0.3">
      <c r="A11" s="96" t="s">
        <v>79</v>
      </c>
      <c r="B11" s="98">
        <f t="shared" ref="B11:B28" si="0">D11+BR11+CJ11</f>
        <v>4260346.21</v>
      </c>
      <c r="C11" s="98">
        <f t="shared" ref="C11:C28" si="1">E11+BS11+CK11</f>
        <v>1640149.9</v>
      </c>
      <c r="D11" s="277">
        <f t="shared" ref="D11:D28" si="2">N11+P11+AT11+AP11+BF11+H11+AX11+BP11+BB11+BD11+AN11+R11+AV11+L11+T11+Z11+BN11+V11+X11+AB11+AR11+AF11+J11+BJ11+BH11+BL11+AZ11+AH11+AD11+F11+AJ11+AL11</f>
        <v>1361446.21</v>
      </c>
      <c r="E11" s="277">
        <f t="shared" ref="E11:E28" si="3">O11+Q11+AU11+AQ11+BG11+I11+AY11+BQ11+BC11+BE11+AO11+S11+AW11+M11+U11+AA11+BO11+W11+Y11+AC11+AS11+AG11+K11+BK11+BI11+BM11+BA11+AI11+AE11+G11+AK11+AM11</f>
        <v>233847.43</v>
      </c>
      <c r="F11" s="98">
        <f>'План и исполнение'!CN12</f>
        <v>0</v>
      </c>
      <c r="G11" s="97">
        <f>'План и исполнение'!CP12</f>
        <v>0</v>
      </c>
      <c r="H11" s="688">
        <f>'План и исполнение'!CQ12+'План и исполнение'!CS12</f>
        <v>0</v>
      </c>
      <c r="I11" s="98">
        <f>'План и исполнение'!CR12+'План и исполнение'!CT12</f>
        <v>0</v>
      </c>
      <c r="J11" s="98">
        <f>'План и исполнение'!DI12</f>
        <v>0</v>
      </c>
      <c r="K11" s="97">
        <f>'План и исполнение'!DL12</f>
        <v>0</v>
      </c>
      <c r="L11" s="99">
        <f>'План и исполнение'!DP12</f>
        <v>0</v>
      </c>
      <c r="M11" s="97">
        <f>'План и исполнение'!DX12</f>
        <v>0</v>
      </c>
      <c r="N11" s="99">
        <f>'План и исполнение'!DR12</f>
        <v>0</v>
      </c>
      <c r="O11" s="98">
        <f>'План и исполнение'!DZ12</f>
        <v>0</v>
      </c>
      <c r="P11" s="97">
        <f>'План и исполнение'!EE12</f>
        <v>0</v>
      </c>
      <c r="Q11" s="98">
        <f>'План и исполнение'!EH12</f>
        <v>0</v>
      </c>
      <c r="R11" s="98">
        <f>'План и исполнение'!EK12</f>
        <v>0</v>
      </c>
      <c r="S11" s="98">
        <f>'План и исполнение'!EP12</f>
        <v>0</v>
      </c>
      <c r="T11" s="98">
        <f>'План и исполнение'!EM12</f>
        <v>0</v>
      </c>
      <c r="U11" s="97">
        <f>'План и исполнение'!ER12</f>
        <v>0</v>
      </c>
      <c r="V11" s="98">
        <f>'План и исполнение'!EU12</f>
        <v>0</v>
      </c>
      <c r="W11" s="97">
        <f>'План и исполнение'!EX12</f>
        <v>0</v>
      </c>
      <c r="X11" s="99">
        <f>'План и исполнение'!FA12</f>
        <v>0</v>
      </c>
      <c r="Y11" s="97">
        <f>'План и исполнение'!FD12</f>
        <v>0</v>
      </c>
      <c r="Z11" s="99">
        <f>'План и исполнение'!FG12</f>
        <v>0</v>
      </c>
      <c r="AA11" s="98">
        <f>'План и исполнение'!FJ12</f>
        <v>0</v>
      </c>
      <c r="AB11" s="98">
        <f>'План и исполнение'!FM12+'План и исполнение'!FS12</f>
        <v>0</v>
      </c>
      <c r="AC11" s="98">
        <f>'План и исполнение'!FP12+'План и исполнение'!FV12</f>
        <v>0</v>
      </c>
      <c r="AD11" s="98">
        <f>'План и исполнение'!GC12</f>
        <v>0</v>
      </c>
      <c r="AE11" s="97">
        <f>'План и исполнение'!GF12</f>
        <v>0</v>
      </c>
      <c r="AF11" s="99">
        <f>'План и исполнение'!GK12+'План и исполнение'!GU12</f>
        <v>0</v>
      </c>
      <c r="AG11" s="98">
        <f>'План и исполнение'!GP12+'План и исполнение'!GZ12</f>
        <v>0</v>
      </c>
      <c r="AH11" s="98">
        <f>'План и исполнение'!GI12+'План и исполнение'!GS12</f>
        <v>0</v>
      </c>
      <c r="AI11" s="98">
        <f>'План и исполнение'!GX12+'План и исполнение'!GN12</f>
        <v>0</v>
      </c>
      <c r="AJ11" s="98">
        <f>'План и исполнение'!HW12</f>
        <v>0</v>
      </c>
      <c r="AK11" s="98">
        <f>'План и исполнение'!HZ12</f>
        <v>0</v>
      </c>
      <c r="AL11" s="98">
        <f>'План и исполнение'!IC12</f>
        <v>0</v>
      </c>
      <c r="AM11" s="97">
        <f>'План и исполнение'!IF12</f>
        <v>0</v>
      </c>
      <c r="AN11" s="99">
        <f>'План и исполнение'!II12</f>
        <v>0</v>
      </c>
      <c r="AO11" s="97">
        <f>'План и исполнение'!IL12</f>
        <v>0</v>
      </c>
      <c r="AP11" s="99">
        <f>'План и исполнение'!IO12+'План и исполнение'!IU12</f>
        <v>72201.509999999995</v>
      </c>
      <c r="AQ11" s="98">
        <f>'План и исполнение'!IR12+'План и исполнение'!IX12</f>
        <v>0</v>
      </c>
      <c r="AR11" s="98">
        <f>'План и исполнение'!JM12</f>
        <v>0</v>
      </c>
      <c r="AS11" s="97">
        <f>'План и исполнение'!JP12</f>
        <v>0</v>
      </c>
      <c r="AT11" s="99">
        <f>'План и исполнение'!JU12+'План и исполнение'!KE12</f>
        <v>0</v>
      </c>
      <c r="AU11" s="98">
        <f>'План и исполнение'!KJ12+'План и исполнение'!JZ12</f>
        <v>0</v>
      </c>
      <c r="AV11" s="98">
        <f>'План и исполнение'!JS12+'План и исполнение'!KC12</f>
        <v>0</v>
      </c>
      <c r="AW11" s="97">
        <f>'План и исполнение'!KH12+'План и исполнение'!JX12</f>
        <v>0</v>
      </c>
      <c r="AX11" s="99">
        <f>'План и исполнение'!LG12</f>
        <v>0</v>
      </c>
      <c r="AY11" s="98">
        <f>'План и исполнение'!LM12</f>
        <v>0</v>
      </c>
      <c r="AZ11" s="98">
        <f>'План и исполнение'!LI12</f>
        <v>0</v>
      </c>
      <c r="BA11" s="97">
        <f>'План и исполнение'!LO12</f>
        <v>0</v>
      </c>
      <c r="BB11" s="99">
        <f>'План и исполнение'!LU12</f>
        <v>0</v>
      </c>
      <c r="BC11" s="97">
        <f>'План и исполнение'!LZ12</f>
        <v>0</v>
      </c>
      <c r="BD11" s="98">
        <f>'План и исполнение'!MD12</f>
        <v>0</v>
      </c>
      <c r="BE11" s="97">
        <f>'План и исполнение'!MH12</f>
        <v>0</v>
      </c>
      <c r="BF11" s="99">
        <f>'План и исполнение'!MO12+'План и исполнение'!MW12</f>
        <v>0</v>
      </c>
      <c r="BG11" s="97">
        <f>'План и исполнение'!MS12+'План и исполнение'!NA12</f>
        <v>0</v>
      </c>
      <c r="BH11" s="98">
        <f>'План и исполнение'!OA12</f>
        <v>0</v>
      </c>
      <c r="BI11" s="97">
        <f>'План и исполнение'!OH12</f>
        <v>0</v>
      </c>
      <c r="BJ11" s="98">
        <f>'План и исполнение'!OC12</f>
        <v>1289244.7</v>
      </c>
      <c r="BK11" s="97">
        <f>'План и исполнение'!OJ12</f>
        <v>233847.43</v>
      </c>
      <c r="BL11" s="98">
        <f>'План и исполнение'!OE12+'План и исполнение'!NU12</f>
        <v>0</v>
      </c>
      <c r="BM11" s="97">
        <f>'План и исполнение'!OL12+'План и исполнение'!NX12</f>
        <v>0</v>
      </c>
      <c r="BN11" s="1229">
        <f>'План и исполнение'!PQ12</f>
        <v>0</v>
      </c>
      <c r="BO11" s="277">
        <f>'План и исполнение'!PT12</f>
        <v>0</v>
      </c>
      <c r="BP11" s="98">
        <f>'План и исполнение'!PW12+'План и исполнение'!QC12</f>
        <v>0</v>
      </c>
      <c r="BQ11" s="98">
        <f>'План и исполнение'!PZ12+'План и исполнение'!QF12</f>
        <v>0</v>
      </c>
      <c r="BR11" s="98">
        <f>CF11+BT11+BZ11+BV11+BX11+CB11+CD11+CH11</f>
        <v>2898900</v>
      </c>
      <c r="BS11" s="97">
        <f>CG11+BU11+CA11+BW11+BY11+CC11+CE11+CI11</f>
        <v>1406302.47</v>
      </c>
      <c r="BT11" s="99">
        <f>'План и исполнение'!RM12</f>
        <v>1465900</v>
      </c>
      <c r="BU11" s="97">
        <f>'План и исполнение'!RN12</f>
        <v>627493.22</v>
      </c>
      <c r="BV11" s="100">
        <f>'План и исполнение'!RO12</f>
        <v>3000</v>
      </c>
      <c r="BW11" s="100">
        <f>'План и исполнение'!RP12</f>
        <v>0</v>
      </c>
      <c r="BX11" s="278">
        <f>'План и исполнение'!RQ12</f>
        <v>0</v>
      </c>
      <c r="BY11" s="461">
        <f>'План и исполнение'!RR12</f>
        <v>0</v>
      </c>
      <c r="BZ11" s="169">
        <f>'План и исполнение'!RS12</f>
        <v>0</v>
      </c>
      <c r="CA11" s="461">
        <f>'План и исполнение'!RT12</f>
        <v>0</v>
      </c>
      <c r="CB11" s="169">
        <f>'План и исполнение'!RU12</f>
        <v>0</v>
      </c>
      <c r="CC11" s="461">
        <f>'План и исполнение'!RV12</f>
        <v>0</v>
      </c>
      <c r="CD11" s="98">
        <f>'План и исполнение'!RW12</f>
        <v>0</v>
      </c>
      <c r="CE11" s="97">
        <f>'План и исполнение'!RX12</f>
        <v>0</v>
      </c>
      <c r="CF11" s="98">
        <f>'План и исполнение'!SB12</f>
        <v>1430000</v>
      </c>
      <c r="CG11" s="98">
        <f>'План и исполнение'!SF12</f>
        <v>778809.25</v>
      </c>
      <c r="CH11" s="98">
        <f>'План и исполнение'!SA12</f>
        <v>0</v>
      </c>
      <c r="CI11" s="97">
        <f>'План и исполнение'!SE12</f>
        <v>0</v>
      </c>
      <c r="CJ11" s="99">
        <f>CL11+CR11+CX11+CZ11+CP11+CT11+CV11+CN11</f>
        <v>0</v>
      </c>
      <c r="CK11" s="97">
        <f>CM11+CS11+CY11+DA11+CQ11+CU11+CW11+CO11</f>
        <v>0</v>
      </c>
      <c r="CL11" s="99">
        <f>'План и исполнение'!VC12</f>
        <v>0</v>
      </c>
      <c r="CM11" s="98">
        <f>'План и исполнение'!VG12</f>
        <v>0</v>
      </c>
      <c r="CN11" s="98">
        <f>'План и исполнение'!SK12</f>
        <v>0</v>
      </c>
      <c r="CO11" s="97">
        <f>'План и исполнение'!SN12</f>
        <v>0</v>
      </c>
      <c r="CP11" s="99">
        <f>'План и исполнение'!SP12+'План и исполнение'!ST12</f>
        <v>0</v>
      </c>
      <c r="CQ11" s="97">
        <f>'План и исполнение'!SR12+'План и исполнение'!SV12</f>
        <v>0</v>
      </c>
      <c r="CR11" s="99">
        <f>'План и исполнение'!TB12+'План и исполнение'!TF12</f>
        <v>0</v>
      </c>
      <c r="CS11" s="98">
        <f>'План и исполнение'!TD12+'План и исполнение'!TH12</f>
        <v>0</v>
      </c>
      <c r="CT11" s="98">
        <f>'План и исполнение'!TN12+'План и исполнение'!TR12</f>
        <v>0</v>
      </c>
      <c r="CU11" s="98">
        <f>'План и исполнение'!TP12+'План и исполнение'!TT12</f>
        <v>0</v>
      </c>
      <c r="CV11" s="98">
        <f>'План и исполнение'!UG12+'План и исполнение'!UA12</f>
        <v>0</v>
      </c>
      <c r="CW11" s="97">
        <f>'План и исполнение'!UJ12+'План и исполнение'!UD12</f>
        <v>0</v>
      </c>
      <c r="CX11" s="99">
        <f>'План и исполнение'!UQ12</f>
        <v>0</v>
      </c>
      <c r="CY11" s="98">
        <f>'План и исполнение'!UT12</f>
        <v>0</v>
      </c>
      <c r="CZ11" s="98">
        <f>'План и исполнение'!UW12</f>
        <v>0</v>
      </c>
      <c r="DA11" s="97">
        <f>'План и исполнение'!UZ12</f>
        <v>0</v>
      </c>
      <c r="DC11" s="1018">
        <f>(BR11-BT11)/1000</f>
        <v>1433</v>
      </c>
      <c r="DD11" s="1018">
        <f>(BS11-BU11)/1000</f>
        <v>778.80925000000002</v>
      </c>
      <c r="DG11" s="1410">
        <f t="shared" ref="DG11:DG36" si="4">DF11-D11</f>
        <v>-1361446.21</v>
      </c>
    </row>
    <row r="12" spans="1:111" ht="25.5" customHeight="1" x14ac:dyDescent="0.3">
      <c r="A12" s="102" t="s">
        <v>80</v>
      </c>
      <c r="B12" s="103">
        <f t="shared" si="0"/>
        <v>61118986.899999999</v>
      </c>
      <c r="C12" s="103">
        <f t="shared" si="1"/>
        <v>40802934.510000005</v>
      </c>
      <c r="D12" s="277">
        <f t="shared" si="2"/>
        <v>39304719.899999999</v>
      </c>
      <c r="E12" s="277">
        <f t="shared" si="3"/>
        <v>21213801.620000001</v>
      </c>
      <c r="F12" s="103">
        <f>'План и исполнение'!CN13</f>
        <v>0</v>
      </c>
      <c r="G12" s="101">
        <f>'План и исполнение'!CP13</f>
        <v>0</v>
      </c>
      <c r="H12" s="100">
        <f>'План и исполнение'!CQ13+'План и исполнение'!CS13</f>
        <v>15065777.310000001</v>
      </c>
      <c r="I12" s="103">
        <f>'План и исполнение'!CR13+'План и исполнение'!CT13</f>
        <v>3803412.05</v>
      </c>
      <c r="J12" s="103">
        <f>'План и исполнение'!DI13</f>
        <v>0</v>
      </c>
      <c r="K12" s="101">
        <f>'План и исполнение'!DL13</f>
        <v>0</v>
      </c>
      <c r="L12" s="104">
        <f>'План и исполнение'!DP13</f>
        <v>0</v>
      </c>
      <c r="M12" s="101">
        <f>'План и исполнение'!DX13</f>
        <v>0</v>
      </c>
      <c r="N12" s="104">
        <f>'План и исполнение'!DR13</f>
        <v>0</v>
      </c>
      <c r="O12" s="103">
        <f>'План и исполнение'!DZ13</f>
        <v>0</v>
      </c>
      <c r="P12" s="101">
        <f>'План и исполнение'!EE13</f>
        <v>0</v>
      </c>
      <c r="Q12" s="103">
        <f>'План и исполнение'!EH13</f>
        <v>0</v>
      </c>
      <c r="R12" s="103">
        <f>'План и исполнение'!EK13</f>
        <v>0</v>
      </c>
      <c r="S12" s="103">
        <f>'План и исполнение'!EP13</f>
        <v>0</v>
      </c>
      <c r="T12" s="103">
        <f>'План и исполнение'!EM13</f>
        <v>0</v>
      </c>
      <c r="U12" s="101">
        <f>'План и исполнение'!ER13</f>
        <v>0</v>
      </c>
      <c r="V12" s="103">
        <f>'План и исполнение'!EU13</f>
        <v>0</v>
      </c>
      <c r="W12" s="101">
        <f>'План и исполнение'!EX13</f>
        <v>0</v>
      </c>
      <c r="X12" s="104">
        <f>'План и исполнение'!FA13</f>
        <v>0</v>
      </c>
      <c r="Y12" s="101">
        <f>'План и исполнение'!FD13</f>
        <v>0</v>
      </c>
      <c r="Z12" s="104">
        <f>'План и исполнение'!FG13</f>
        <v>0</v>
      </c>
      <c r="AA12" s="103">
        <f>'План и исполнение'!FJ13</f>
        <v>0</v>
      </c>
      <c r="AB12" s="103">
        <f>'План и исполнение'!FM13+'План и исполнение'!FS13</f>
        <v>0</v>
      </c>
      <c r="AC12" s="103">
        <f>'План и исполнение'!FP13+'План и исполнение'!FV13</f>
        <v>0</v>
      </c>
      <c r="AD12" s="103">
        <f>'План и исполнение'!GC13</f>
        <v>0</v>
      </c>
      <c r="AE12" s="101">
        <f>'План и исполнение'!GF13</f>
        <v>0</v>
      </c>
      <c r="AF12" s="104">
        <f>'План и исполнение'!GK13+'План и исполнение'!GU13</f>
        <v>165616.07999999999</v>
      </c>
      <c r="AG12" s="103">
        <f>'План и исполнение'!GP13+'План и исполнение'!GZ13</f>
        <v>0</v>
      </c>
      <c r="AH12" s="103">
        <f>'План и исполнение'!GI13+'План и исполнение'!GS13</f>
        <v>0</v>
      </c>
      <c r="AI12" s="103">
        <f>'План и исполнение'!GX13+'План и исполнение'!GN13</f>
        <v>0</v>
      </c>
      <c r="AJ12" s="103">
        <f>'План и исполнение'!HW13</f>
        <v>0</v>
      </c>
      <c r="AK12" s="103">
        <f>'План и исполнение'!HZ13</f>
        <v>0</v>
      </c>
      <c r="AL12" s="103">
        <f>'План и исполнение'!IC13</f>
        <v>0</v>
      </c>
      <c r="AM12" s="101">
        <f>'План и исполнение'!IF13</f>
        <v>0</v>
      </c>
      <c r="AN12" s="104">
        <f>'План и исполнение'!II13</f>
        <v>0</v>
      </c>
      <c r="AO12" s="101">
        <f>'План и исполнение'!IL13</f>
        <v>0</v>
      </c>
      <c r="AP12" s="104">
        <f>'План и исполнение'!IO13+'План и исполнение'!IU13</f>
        <v>880389.57000000007</v>
      </c>
      <c r="AQ12" s="103">
        <f>'План и исполнение'!IR13+'План и исполнение'!IX13</f>
        <v>880389.57000000007</v>
      </c>
      <c r="AR12" s="103">
        <f>'План и исполнение'!JM13</f>
        <v>0</v>
      </c>
      <c r="AS12" s="101">
        <f>'План и исполнение'!JP13</f>
        <v>0</v>
      </c>
      <c r="AT12" s="104">
        <f>'План и исполнение'!JU13+'План и исполнение'!KE13</f>
        <v>0</v>
      </c>
      <c r="AU12" s="103">
        <f>'План и исполнение'!KJ13+'План и исполнение'!JZ13</f>
        <v>0</v>
      </c>
      <c r="AV12" s="103">
        <f>'План и исполнение'!JS13+'План и исполнение'!KC13</f>
        <v>0</v>
      </c>
      <c r="AW12" s="101">
        <f>'План и исполнение'!KH13+'План и исполнение'!JX13</f>
        <v>0</v>
      </c>
      <c r="AX12" s="104">
        <f>'План и исполнение'!LG13</f>
        <v>0</v>
      </c>
      <c r="AY12" s="103">
        <f>'План и исполнение'!LM13</f>
        <v>0</v>
      </c>
      <c r="AZ12" s="103">
        <f>'План и исполнение'!LI13</f>
        <v>0</v>
      </c>
      <c r="BA12" s="101">
        <f>'План и исполнение'!LO13</f>
        <v>0</v>
      </c>
      <c r="BB12" s="104">
        <f>'План и исполнение'!LU13</f>
        <v>0</v>
      </c>
      <c r="BC12" s="101">
        <f>'План и исполнение'!LZ13</f>
        <v>0</v>
      </c>
      <c r="BD12" s="103">
        <f>'План и исполнение'!MD13</f>
        <v>0</v>
      </c>
      <c r="BE12" s="101">
        <f>'План и исполнение'!MH13</f>
        <v>0</v>
      </c>
      <c r="BF12" s="104">
        <f>'План и исполнение'!MO13+'План и исполнение'!MW13</f>
        <v>16530000</v>
      </c>
      <c r="BG12" s="101">
        <f>'План и исполнение'!MS13+'План и исполнение'!NA13</f>
        <v>16530000</v>
      </c>
      <c r="BH12" s="103">
        <f>'План и исполнение'!OA13</f>
        <v>0</v>
      </c>
      <c r="BI12" s="101">
        <f>'План и исполнение'!OH13</f>
        <v>0</v>
      </c>
      <c r="BJ12" s="103">
        <f>'План и исполнение'!OC13</f>
        <v>775836.94</v>
      </c>
      <c r="BK12" s="101">
        <f>'План и исполнение'!OJ13</f>
        <v>0</v>
      </c>
      <c r="BL12" s="103">
        <f>'План и исполнение'!OE13+'План и исполнение'!NU13</f>
        <v>0</v>
      </c>
      <c r="BM12" s="101">
        <f>'План и исполнение'!OL13+'План и исполнение'!NX13</f>
        <v>0</v>
      </c>
      <c r="BN12" s="100">
        <f>'План и исполнение'!PQ13</f>
        <v>0</v>
      </c>
      <c r="BO12" s="101">
        <f>'План и исполнение'!PT13</f>
        <v>0</v>
      </c>
      <c r="BP12" s="103">
        <f>'План и исполнение'!PW13+'План и исполнение'!QC13</f>
        <v>5887100</v>
      </c>
      <c r="BQ12" s="103">
        <f>'План и исполнение'!PZ13+'План и исполнение'!QF13</f>
        <v>0</v>
      </c>
      <c r="BR12" s="103">
        <f t="shared" ref="BR12:BR28" si="5">CF12+BT12+BZ12+BV12+BX12+CB12+CD12+CH12</f>
        <v>6814267</v>
      </c>
      <c r="BS12" s="101">
        <f t="shared" ref="BS12:BS28" si="6">CG12+BU12+CA12+BW12+BY12+CC12+CE12+CI12</f>
        <v>4589132.8900000006</v>
      </c>
      <c r="BT12" s="104">
        <f>'План и исполнение'!RM13</f>
        <v>1999800</v>
      </c>
      <c r="BU12" s="101">
        <f>'План и исполнение'!RN13</f>
        <v>829030.62</v>
      </c>
      <c r="BV12" s="100">
        <f>'План и исполнение'!RO13</f>
        <v>0</v>
      </c>
      <c r="BW12" s="100">
        <f>'План и исполнение'!RP13</f>
        <v>0</v>
      </c>
      <c r="BX12" s="279">
        <f>'План и исполнение'!RQ13</f>
        <v>0</v>
      </c>
      <c r="BY12" s="168">
        <f>'План и исполнение'!RR13</f>
        <v>0</v>
      </c>
      <c r="BZ12" s="170">
        <f>'План и исполнение'!RS13</f>
        <v>714467</v>
      </c>
      <c r="CA12" s="168">
        <f>'План и исполнение'!RT13</f>
        <v>674244</v>
      </c>
      <c r="CB12" s="170">
        <f>'План и исполнение'!RU13</f>
        <v>0</v>
      </c>
      <c r="CC12" s="168">
        <f>'План и исполнение'!RV13</f>
        <v>0</v>
      </c>
      <c r="CD12" s="103">
        <f>'План и исполнение'!RW13</f>
        <v>0</v>
      </c>
      <c r="CE12" s="101">
        <f>'План и исполнение'!RX13</f>
        <v>0</v>
      </c>
      <c r="CF12" s="103">
        <f>'План и исполнение'!SB13</f>
        <v>4100000</v>
      </c>
      <c r="CG12" s="103">
        <f>'План и исполнение'!SF13</f>
        <v>3085858.27</v>
      </c>
      <c r="CH12" s="103">
        <f>'План и исполнение'!SA13</f>
        <v>0</v>
      </c>
      <c r="CI12" s="101">
        <f>'План и исполнение'!SE13</f>
        <v>0</v>
      </c>
      <c r="CJ12" s="104">
        <f t="shared" ref="CJ12:CJ28" si="7">CL12+CR12+CX12+CZ12+CP12+CT12+CV12+CN12</f>
        <v>15000000</v>
      </c>
      <c r="CK12" s="101">
        <f t="shared" ref="CK12:CK28" si="8">CM12+CS12+CY12+DA12+CQ12+CU12+CW12+CO12</f>
        <v>15000000</v>
      </c>
      <c r="CL12" s="104">
        <f>'План и исполнение'!VC13</f>
        <v>0</v>
      </c>
      <c r="CM12" s="103">
        <f>'План и исполнение'!VG13</f>
        <v>0</v>
      </c>
      <c r="CN12" s="103">
        <f>'План и исполнение'!SK13</f>
        <v>0</v>
      </c>
      <c r="CO12" s="101">
        <f>'План и исполнение'!SN13</f>
        <v>0</v>
      </c>
      <c r="CP12" s="104">
        <f>'План и исполнение'!SP13+'План и исполнение'!ST13</f>
        <v>0</v>
      </c>
      <c r="CQ12" s="101">
        <f>'План и исполнение'!SR13+'План и исполнение'!SV13</f>
        <v>0</v>
      </c>
      <c r="CR12" s="104">
        <f>'План и исполнение'!TB13+'План и исполнение'!TF13</f>
        <v>15000000</v>
      </c>
      <c r="CS12" s="103">
        <f>'План и исполнение'!TD13+'План и исполнение'!TH13</f>
        <v>15000000</v>
      </c>
      <c r="CT12" s="103">
        <f>'План и исполнение'!TN13+'План и исполнение'!TR13</f>
        <v>0</v>
      </c>
      <c r="CU12" s="103">
        <f>'План и исполнение'!TP13+'План и исполнение'!TT13</f>
        <v>0</v>
      </c>
      <c r="CV12" s="103">
        <f>'План и исполнение'!UG13+'План и исполнение'!UA13</f>
        <v>0</v>
      </c>
      <c r="CW12" s="101">
        <f>'План и исполнение'!UJ13+'План и исполнение'!UD13</f>
        <v>0</v>
      </c>
      <c r="CX12" s="104">
        <f>'План и исполнение'!UQ13</f>
        <v>0</v>
      </c>
      <c r="CY12" s="103">
        <f>'План и исполнение'!UT13</f>
        <v>0</v>
      </c>
      <c r="CZ12" s="103">
        <f>'План и исполнение'!UW13</f>
        <v>0</v>
      </c>
      <c r="DA12" s="101">
        <f>'План и исполнение'!UZ13</f>
        <v>0</v>
      </c>
      <c r="DC12" s="1018">
        <f t="shared" ref="DC12:DC36" si="9">(BR12-BT12)/1000</f>
        <v>4814.4669999999996</v>
      </c>
      <c r="DD12" s="1018">
        <f t="shared" ref="DD12:DD36" si="10">(BS12-BU12)/1000</f>
        <v>3760.1022700000003</v>
      </c>
      <c r="DG12" s="1410">
        <f t="shared" si="4"/>
        <v>-39304719.899999999</v>
      </c>
    </row>
    <row r="13" spans="1:111" ht="25.5" customHeight="1" x14ac:dyDescent="0.3">
      <c r="A13" s="105" t="s">
        <v>81</v>
      </c>
      <c r="B13" s="103">
        <f t="shared" si="0"/>
        <v>103673240.97</v>
      </c>
      <c r="C13" s="103">
        <f t="shared" si="1"/>
        <v>41034403.669999994</v>
      </c>
      <c r="D13" s="277">
        <f t="shared" si="2"/>
        <v>55031740.969999991</v>
      </c>
      <c r="E13" s="277">
        <f t="shared" si="3"/>
        <v>39387704.199999996</v>
      </c>
      <c r="F13" s="103">
        <f>'План и исполнение'!CN14</f>
        <v>0</v>
      </c>
      <c r="G13" s="101">
        <f>'План и исполнение'!CP14</f>
        <v>0</v>
      </c>
      <c r="H13" s="100">
        <f>'План и исполнение'!CQ14+'План и исполнение'!CS14</f>
        <v>33867129.159999996</v>
      </c>
      <c r="I13" s="103">
        <f>'План и исполнение'!CR14+'План и исполнение'!CT14</f>
        <v>26639416.419999998</v>
      </c>
      <c r="J13" s="103">
        <f>'План и исполнение'!DI14</f>
        <v>0</v>
      </c>
      <c r="K13" s="101">
        <f>'План и исполнение'!DL14</f>
        <v>0</v>
      </c>
      <c r="L13" s="104">
        <f>'План и исполнение'!DP14</f>
        <v>0</v>
      </c>
      <c r="M13" s="101">
        <f>'План и исполнение'!DX14</f>
        <v>0</v>
      </c>
      <c r="N13" s="104">
        <f>'План и исполнение'!DR14</f>
        <v>0</v>
      </c>
      <c r="O13" s="103">
        <f>'План и исполнение'!DZ14</f>
        <v>0</v>
      </c>
      <c r="P13" s="101">
        <f>'План и исполнение'!EE14</f>
        <v>0</v>
      </c>
      <c r="Q13" s="103">
        <f>'План и исполнение'!EH14</f>
        <v>0</v>
      </c>
      <c r="R13" s="103">
        <f>'План и исполнение'!EK14</f>
        <v>0</v>
      </c>
      <c r="S13" s="103">
        <f>'План и исполнение'!EP14</f>
        <v>0</v>
      </c>
      <c r="T13" s="103">
        <f>'План и исполнение'!EM14</f>
        <v>0</v>
      </c>
      <c r="U13" s="101">
        <f>'План и исполнение'!ER14</f>
        <v>0</v>
      </c>
      <c r="V13" s="103">
        <f>'План и исполнение'!EU14</f>
        <v>0</v>
      </c>
      <c r="W13" s="101">
        <f>'План и исполнение'!EX14</f>
        <v>0</v>
      </c>
      <c r="X13" s="104">
        <f>'План и исполнение'!FA14</f>
        <v>0</v>
      </c>
      <c r="Y13" s="101">
        <f>'План и исполнение'!FD14</f>
        <v>0</v>
      </c>
      <c r="Z13" s="104">
        <f>'План и исполнение'!FG14</f>
        <v>0</v>
      </c>
      <c r="AA13" s="103">
        <f>'План и исполнение'!FJ14</f>
        <v>0</v>
      </c>
      <c r="AB13" s="103">
        <f>'План и исполнение'!FM14+'План и исполнение'!FS14</f>
        <v>0</v>
      </c>
      <c r="AC13" s="103">
        <f>'План и исполнение'!FP14+'План и исполнение'!FV14</f>
        <v>0</v>
      </c>
      <c r="AD13" s="103">
        <f>'План и исполнение'!GC14</f>
        <v>0</v>
      </c>
      <c r="AE13" s="101">
        <f>'План и исполнение'!GF14</f>
        <v>0</v>
      </c>
      <c r="AF13" s="104">
        <f>'План и исполнение'!GK14+'План и исполнение'!GU14</f>
        <v>0</v>
      </c>
      <c r="AG13" s="103">
        <f>'План и исполнение'!GP14+'План и исполнение'!GZ14</f>
        <v>0</v>
      </c>
      <c r="AH13" s="103">
        <f>'План и исполнение'!GI14+'План и исполнение'!GS14</f>
        <v>0</v>
      </c>
      <c r="AI13" s="103">
        <f>'План и исполнение'!GX14+'План и исполнение'!GN14</f>
        <v>0</v>
      </c>
      <c r="AJ13" s="103">
        <f>'План и исполнение'!HW14</f>
        <v>0</v>
      </c>
      <c r="AK13" s="103">
        <f>'План и исполнение'!HZ14</f>
        <v>0</v>
      </c>
      <c r="AL13" s="103">
        <f>'План и исполнение'!IC14</f>
        <v>0</v>
      </c>
      <c r="AM13" s="101">
        <f>'План и исполнение'!IF14</f>
        <v>0</v>
      </c>
      <c r="AN13" s="104">
        <f>'План и исполнение'!II14</f>
        <v>0</v>
      </c>
      <c r="AO13" s="101">
        <f>'План и исполнение'!IL14</f>
        <v>0</v>
      </c>
      <c r="AP13" s="104">
        <f>'План и исполнение'!IO14+'План и исполнение'!IU14</f>
        <v>717708.89</v>
      </c>
      <c r="AQ13" s="103">
        <f>'План и исполнение'!IR14+'План и исполнение'!IX14</f>
        <v>649194.68000000005</v>
      </c>
      <c r="AR13" s="103">
        <f>'План и исполнение'!JM14</f>
        <v>0</v>
      </c>
      <c r="AS13" s="101">
        <f>'План и исполнение'!JP14</f>
        <v>0</v>
      </c>
      <c r="AT13" s="104">
        <f>'План и исполнение'!JU14+'План и исполнение'!KE14</f>
        <v>4979.5200000000004</v>
      </c>
      <c r="AU13" s="103">
        <f>'План и исполнение'!KJ14+'План и исполнение'!JZ14</f>
        <v>0</v>
      </c>
      <c r="AV13" s="103">
        <f>'План и исполнение'!JS14+'План и исполнение'!KC14</f>
        <v>0</v>
      </c>
      <c r="AW13" s="101">
        <f>'План и исполнение'!KH14+'План и исполнение'!JX14</f>
        <v>0</v>
      </c>
      <c r="AX13" s="104">
        <f>'План и исполнение'!LG14</f>
        <v>0</v>
      </c>
      <c r="AY13" s="103">
        <f>'План и исполнение'!LM14</f>
        <v>0</v>
      </c>
      <c r="AZ13" s="103">
        <f>'План и исполнение'!LI14</f>
        <v>0</v>
      </c>
      <c r="BA13" s="101">
        <f>'План и исполнение'!LO14</f>
        <v>0</v>
      </c>
      <c r="BB13" s="104">
        <f>'План и исполнение'!LU14</f>
        <v>0</v>
      </c>
      <c r="BC13" s="101">
        <f>'План и исполнение'!LZ14</f>
        <v>0</v>
      </c>
      <c r="BD13" s="103">
        <f>'План и исполнение'!MD14</f>
        <v>0</v>
      </c>
      <c r="BE13" s="101">
        <f>'План и исполнение'!MH14</f>
        <v>0</v>
      </c>
      <c r="BF13" s="104">
        <f>'План и исполнение'!MO14+'План и исполнение'!MW14</f>
        <v>16530000</v>
      </c>
      <c r="BG13" s="101">
        <f>'План и исполнение'!MS14+'План и исполнение'!NA14</f>
        <v>12099093.1</v>
      </c>
      <c r="BH13" s="103">
        <f>'План и исполнение'!OA14</f>
        <v>0</v>
      </c>
      <c r="BI13" s="101">
        <f>'План и исполнение'!OH14</f>
        <v>0</v>
      </c>
      <c r="BJ13" s="103">
        <f>'План и исполнение'!OC14</f>
        <v>3911923.4</v>
      </c>
      <c r="BK13" s="101">
        <f>'План и исполнение'!OJ14</f>
        <v>0</v>
      </c>
      <c r="BL13" s="103">
        <f>'План и исполнение'!OE14+'План и исполнение'!NU14</f>
        <v>0</v>
      </c>
      <c r="BM13" s="101">
        <f>'План и исполнение'!OL14+'План и исполнение'!NX14</f>
        <v>0</v>
      </c>
      <c r="BN13" s="100">
        <f>'План и исполнение'!PQ14</f>
        <v>0</v>
      </c>
      <c r="BO13" s="101">
        <f>'План и исполнение'!PT14</f>
        <v>0</v>
      </c>
      <c r="BP13" s="103">
        <f>'План и исполнение'!PW14+'План и исполнение'!QC14</f>
        <v>0</v>
      </c>
      <c r="BQ13" s="103">
        <f>'План и исполнение'!PZ14+'План и исполнение'!QF14</f>
        <v>0</v>
      </c>
      <c r="BR13" s="103">
        <f t="shared" si="5"/>
        <v>3641500</v>
      </c>
      <c r="BS13" s="101">
        <f t="shared" si="6"/>
        <v>1646699.47</v>
      </c>
      <c r="BT13" s="104">
        <f>'План и исполнение'!RM14</f>
        <v>1238500</v>
      </c>
      <c r="BU13" s="101">
        <f>'План и исполнение'!RN14</f>
        <v>436640.04</v>
      </c>
      <c r="BV13" s="100">
        <f>'План и исполнение'!RO14</f>
        <v>3000</v>
      </c>
      <c r="BW13" s="100">
        <f>'План и исполнение'!RP14</f>
        <v>0</v>
      </c>
      <c r="BX13" s="279">
        <f>'План и исполнение'!RQ14</f>
        <v>0</v>
      </c>
      <c r="BY13" s="168">
        <f>'План и исполнение'!RR14</f>
        <v>0</v>
      </c>
      <c r="BZ13" s="170">
        <f>'План и исполнение'!RS14</f>
        <v>0</v>
      </c>
      <c r="CA13" s="168">
        <f>'План и исполнение'!RT14</f>
        <v>0</v>
      </c>
      <c r="CB13" s="170">
        <f>'План и исполнение'!RU14</f>
        <v>0</v>
      </c>
      <c r="CC13" s="168">
        <f>'План и исполнение'!RV14</f>
        <v>0</v>
      </c>
      <c r="CD13" s="103">
        <f>'План и исполнение'!RW14</f>
        <v>0</v>
      </c>
      <c r="CE13" s="101">
        <f>'План и исполнение'!RX14</f>
        <v>0</v>
      </c>
      <c r="CF13" s="103">
        <f>'План и исполнение'!SB14</f>
        <v>2400000</v>
      </c>
      <c r="CG13" s="103">
        <f>'План и исполнение'!SF14</f>
        <v>1210059.43</v>
      </c>
      <c r="CH13" s="103">
        <f>'План и исполнение'!SA14</f>
        <v>0</v>
      </c>
      <c r="CI13" s="101">
        <f>'План и исполнение'!SE14</f>
        <v>0</v>
      </c>
      <c r="CJ13" s="104">
        <f t="shared" si="7"/>
        <v>45000000</v>
      </c>
      <c r="CK13" s="101">
        <f t="shared" si="8"/>
        <v>0</v>
      </c>
      <c r="CL13" s="104">
        <f>'План и исполнение'!VC14</f>
        <v>0</v>
      </c>
      <c r="CM13" s="103">
        <f>'План и исполнение'!VG14</f>
        <v>0</v>
      </c>
      <c r="CN13" s="103">
        <f>'План и исполнение'!SK14</f>
        <v>0</v>
      </c>
      <c r="CO13" s="101">
        <f>'План и исполнение'!SN14</f>
        <v>0</v>
      </c>
      <c r="CP13" s="104">
        <f>'План и исполнение'!SP14+'План и исполнение'!ST14</f>
        <v>0</v>
      </c>
      <c r="CQ13" s="101">
        <f>'План и исполнение'!SR14+'План и исполнение'!SV14</f>
        <v>0</v>
      </c>
      <c r="CR13" s="104">
        <f>'План и исполнение'!TB14+'План и исполнение'!TF14</f>
        <v>0</v>
      </c>
      <c r="CS13" s="103">
        <f>'План и исполнение'!TD14+'План и исполнение'!TH14</f>
        <v>0</v>
      </c>
      <c r="CT13" s="103">
        <f>'План и исполнение'!TN14+'План и исполнение'!TR14</f>
        <v>0</v>
      </c>
      <c r="CU13" s="103">
        <f>'План и исполнение'!TP14+'План и исполнение'!TT14</f>
        <v>0</v>
      </c>
      <c r="CV13" s="103">
        <f>'План и исполнение'!UG14+'План и исполнение'!UA14</f>
        <v>45000000</v>
      </c>
      <c r="CW13" s="101">
        <f>'План и исполнение'!UJ14+'План и исполнение'!UD14</f>
        <v>0</v>
      </c>
      <c r="CX13" s="104">
        <f>'План и исполнение'!UQ14</f>
        <v>0</v>
      </c>
      <c r="CY13" s="103">
        <f>'План и исполнение'!UT14</f>
        <v>0</v>
      </c>
      <c r="CZ13" s="103">
        <f>'План и исполнение'!UW14</f>
        <v>0</v>
      </c>
      <c r="DA13" s="101">
        <f>'План и исполнение'!UZ14</f>
        <v>0</v>
      </c>
      <c r="DC13" s="1018">
        <f t="shared" si="9"/>
        <v>2403</v>
      </c>
      <c r="DD13" s="1018">
        <f t="shared" si="10"/>
        <v>1210.05943</v>
      </c>
      <c r="DG13" s="1410">
        <f t="shared" si="4"/>
        <v>-55031740.969999991</v>
      </c>
    </row>
    <row r="14" spans="1:111" ht="25.5" customHeight="1" x14ac:dyDescent="0.3">
      <c r="A14" s="102" t="s">
        <v>82</v>
      </c>
      <c r="B14" s="103">
        <f t="shared" si="0"/>
        <v>9758328.5800000001</v>
      </c>
      <c r="C14" s="103">
        <f t="shared" si="1"/>
        <v>2732398.01</v>
      </c>
      <c r="D14" s="277">
        <f t="shared" si="2"/>
        <v>4930928.58</v>
      </c>
      <c r="E14" s="277">
        <f t="shared" si="3"/>
        <v>0</v>
      </c>
      <c r="F14" s="103">
        <f>'План и исполнение'!CN15</f>
        <v>0</v>
      </c>
      <c r="G14" s="101">
        <f>'План и исполнение'!CP15</f>
        <v>0</v>
      </c>
      <c r="H14" s="100">
        <f>'План и исполнение'!CQ15+'План и исполнение'!CS15</f>
        <v>0</v>
      </c>
      <c r="I14" s="103">
        <f>'План и исполнение'!CR15+'План и исполнение'!CT15</f>
        <v>0</v>
      </c>
      <c r="J14" s="103">
        <f>'План и исполнение'!DI15</f>
        <v>0</v>
      </c>
      <c r="K14" s="101">
        <f>'План и исполнение'!DL15</f>
        <v>0</v>
      </c>
      <c r="L14" s="104">
        <f>'План и исполнение'!DP15</f>
        <v>0</v>
      </c>
      <c r="M14" s="101">
        <f>'План и исполнение'!DX15</f>
        <v>0</v>
      </c>
      <c r="N14" s="104">
        <f>'План и исполнение'!DR15</f>
        <v>0</v>
      </c>
      <c r="O14" s="103">
        <f>'План и исполнение'!DZ15</f>
        <v>0</v>
      </c>
      <c r="P14" s="101">
        <f>'План и исполнение'!EE15</f>
        <v>0</v>
      </c>
      <c r="Q14" s="103">
        <f>'План и исполнение'!EH15</f>
        <v>0</v>
      </c>
      <c r="R14" s="103">
        <f>'План и исполнение'!EK15</f>
        <v>0</v>
      </c>
      <c r="S14" s="103">
        <f>'План и исполнение'!EP15</f>
        <v>0</v>
      </c>
      <c r="T14" s="103">
        <f>'План и исполнение'!EM15</f>
        <v>0</v>
      </c>
      <c r="U14" s="101">
        <f>'План и исполнение'!ER15</f>
        <v>0</v>
      </c>
      <c r="V14" s="103">
        <f>'План и исполнение'!EU15</f>
        <v>0</v>
      </c>
      <c r="W14" s="101">
        <f>'План и исполнение'!EX15</f>
        <v>0</v>
      </c>
      <c r="X14" s="104">
        <f>'План и исполнение'!FA15</f>
        <v>0</v>
      </c>
      <c r="Y14" s="101">
        <f>'План и исполнение'!FD15</f>
        <v>0</v>
      </c>
      <c r="Z14" s="104">
        <f>'План и исполнение'!FG15</f>
        <v>0</v>
      </c>
      <c r="AA14" s="103">
        <f>'План и исполнение'!FJ15</f>
        <v>0</v>
      </c>
      <c r="AB14" s="103">
        <f>'План и исполнение'!FM15+'План и исполнение'!FS15</f>
        <v>0</v>
      </c>
      <c r="AC14" s="103">
        <f>'План и исполнение'!FP15+'План и исполнение'!FV15</f>
        <v>0</v>
      </c>
      <c r="AD14" s="103">
        <f>'План и исполнение'!GC15</f>
        <v>0</v>
      </c>
      <c r="AE14" s="101">
        <f>'План и исполнение'!GF15</f>
        <v>0</v>
      </c>
      <c r="AF14" s="104">
        <f>'План и исполнение'!GK15+'План и исполнение'!GU15</f>
        <v>0</v>
      </c>
      <c r="AG14" s="103">
        <f>'План и исполнение'!GP15+'План и исполнение'!GZ15</f>
        <v>0</v>
      </c>
      <c r="AH14" s="103">
        <f>'План и исполнение'!GI15+'План и исполнение'!GS15</f>
        <v>0</v>
      </c>
      <c r="AI14" s="103">
        <f>'План и исполнение'!GX15+'План и исполнение'!GN15</f>
        <v>0</v>
      </c>
      <c r="AJ14" s="103">
        <f>'План и исполнение'!HW15</f>
        <v>0</v>
      </c>
      <c r="AK14" s="103">
        <f>'План и исполнение'!HZ15</f>
        <v>0</v>
      </c>
      <c r="AL14" s="103">
        <f>'План и исполнение'!IC15</f>
        <v>0</v>
      </c>
      <c r="AM14" s="101">
        <f>'План и исполнение'!IF15</f>
        <v>0</v>
      </c>
      <c r="AN14" s="104">
        <f>'План и исполнение'!II15</f>
        <v>0</v>
      </c>
      <c r="AO14" s="101">
        <f>'План и исполнение'!IL15</f>
        <v>0</v>
      </c>
      <c r="AP14" s="104">
        <f>'План и исполнение'!IO15+'План и исполнение'!IU15</f>
        <v>666596.05000000005</v>
      </c>
      <c r="AQ14" s="103">
        <f>'План и исполнение'!IR15+'План и исполнение'!IX15</f>
        <v>0</v>
      </c>
      <c r="AR14" s="103">
        <f>'План и исполнение'!JM15</f>
        <v>0</v>
      </c>
      <c r="AS14" s="101">
        <f>'План и исполнение'!JP15</f>
        <v>0</v>
      </c>
      <c r="AT14" s="104">
        <f>'План и исполнение'!JU15+'План и исполнение'!KE15</f>
        <v>0</v>
      </c>
      <c r="AU14" s="103">
        <f>'План и исполнение'!KJ15+'План и исполнение'!JZ15</f>
        <v>0</v>
      </c>
      <c r="AV14" s="103">
        <f>'План и исполнение'!JS15+'План и исполнение'!KC15</f>
        <v>0</v>
      </c>
      <c r="AW14" s="101">
        <f>'План и исполнение'!KH15+'План и исполнение'!JX15</f>
        <v>0</v>
      </c>
      <c r="AX14" s="104">
        <f>'План и исполнение'!LG15</f>
        <v>0</v>
      </c>
      <c r="AY14" s="103">
        <f>'План и исполнение'!LM15</f>
        <v>0</v>
      </c>
      <c r="AZ14" s="103">
        <f>'План и исполнение'!LI15</f>
        <v>0</v>
      </c>
      <c r="BA14" s="101">
        <f>'План и исполнение'!LO15</f>
        <v>0</v>
      </c>
      <c r="BB14" s="104">
        <f>'План и исполнение'!LU15</f>
        <v>0</v>
      </c>
      <c r="BC14" s="101">
        <f>'План и исполнение'!LZ15</f>
        <v>0</v>
      </c>
      <c r="BD14" s="103">
        <f>'План и исполнение'!MD15</f>
        <v>0</v>
      </c>
      <c r="BE14" s="101">
        <f>'План и исполнение'!MH15</f>
        <v>0</v>
      </c>
      <c r="BF14" s="104">
        <f>'План и исполнение'!MO15+'План и исполнение'!MW15</f>
        <v>0</v>
      </c>
      <c r="BG14" s="101">
        <f>'План и исполнение'!MS15+'План и исполнение'!NA15</f>
        <v>0</v>
      </c>
      <c r="BH14" s="103">
        <f>'План и исполнение'!OA15</f>
        <v>0</v>
      </c>
      <c r="BI14" s="101">
        <f>'План и исполнение'!OH15</f>
        <v>0</v>
      </c>
      <c r="BJ14" s="103">
        <f>'План и исполнение'!OC15</f>
        <v>4264332.53</v>
      </c>
      <c r="BK14" s="101">
        <f>'План и исполнение'!OJ15</f>
        <v>0</v>
      </c>
      <c r="BL14" s="103">
        <f>'План и исполнение'!OE15+'План и исполнение'!NU15</f>
        <v>0</v>
      </c>
      <c r="BM14" s="101">
        <f>'План и исполнение'!OL15+'План и исполнение'!NX15</f>
        <v>0</v>
      </c>
      <c r="BN14" s="100">
        <f>'План и исполнение'!PQ15</f>
        <v>0</v>
      </c>
      <c r="BO14" s="101">
        <f>'План и исполнение'!PT15</f>
        <v>0</v>
      </c>
      <c r="BP14" s="103">
        <f>'План и исполнение'!PW15+'План и исполнение'!QC15</f>
        <v>0</v>
      </c>
      <c r="BQ14" s="103">
        <f>'План и исполнение'!PZ15+'План и исполнение'!QF15</f>
        <v>0</v>
      </c>
      <c r="BR14" s="103">
        <f t="shared" si="5"/>
        <v>4827400</v>
      </c>
      <c r="BS14" s="101">
        <f t="shared" si="6"/>
        <v>2732398.01</v>
      </c>
      <c r="BT14" s="104">
        <f>'План и исполнение'!RM15</f>
        <v>1877400</v>
      </c>
      <c r="BU14" s="101">
        <f>'План и исполнение'!RN15</f>
        <v>938800</v>
      </c>
      <c r="BV14" s="100">
        <f>'План и исполнение'!RO15</f>
        <v>0</v>
      </c>
      <c r="BW14" s="100">
        <f>'План и исполнение'!RP15</f>
        <v>0</v>
      </c>
      <c r="BX14" s="279">
        <f>'План и исполнение'!RQ15</f>
        <v>0</v>
      </c>
      <c r="BY14" s="168">
        <f>'План и исполнение'!RR15</f>
        <v>0</v>
      </c>
      <c r="BZ14" s="170">
        <f>'План и исполнение'!RS15</f>
        <v>0</v>
      </c>
      <c r="CA14" s="168">
        <f>'План и исполнение'!RT15</f>
        <v>0</v>
      </c>
      <c r="CB14" s="170">
        <f>'План и исполнение'!RU15</f>
        <v>0</v>
      </c>
      <c r="CC14" s="168">
        <f>'План и исполнение'!RV15</f>
        <v>0</v>
      </c>
      <c r="CD14" s="103">
        <f>'План и исполнение'!RW15</f>
        <v>0</v>
      </c>
      <c r="CE14" s="101">
        <f>'План и исполнение'!RX15</f>
        <v>0</v>
      </c>
      <c r="CF14" s="103">
        <f>'План и исполнение'!SB15</f>
        <v>2950000</v>
      </c>
      <c r="CG14" s="103">
        <f>'План и исполнение'!SF15</f>
        <v>1793598.01</v>
      </c>
      <c r="CH14" s="103">
        <f>'План и исполнение'!SA15</f>
        <v>0</v>
      </c>
      <c r="CI14" s="101">
        <f>'План и исполнение'!SE15</f>
        <v>0</v>
      </c>
      <c r="CJ14" s="104">
        <f t="shared" si="7"/>
        <v>0</v>
      </c>
      <c r="CK14" s="101">
        <f t="shared" si="8"/>
        <v>0</v>
      </c>
      <c r="CL14" s="104">
        <f>'План и исполнение'!VC15</f>
        <v>0</v>
      </c>
      <c r="CM14" s="103">
        <f>'План и исполнение'!VG15</f>
        <v>0</v>
      </c>
      <c r="CN14" s="103">
        <f>'План и исполнение'!SK15</f>
        <v>0</v>
      </c>
      <c r="CO14" s="101">
        <f>'План и исполнение'!SN15</f>
        <v>0</v>
      </c>
      <c r="CP14" s="104">
        <f>'План и исполнение'!SP15+'План и исполнение'!ST15</f>
        <v>0</v>
      </c>
      <c r="CQ14" s="101">
        <f>'План и исполнение'!SR15+'План и исполнение'!SV15</f>
        <v>0</v>
      </c>
      <c r="CR14" s="104">
        <f>'План и исполнение'!TB15+'План и исполнение'!TF15</f>
        <v>0</v>
      </c>
      <c r="CS14" s="103">
        <f>'План и исполнение'!TD15+'План и исполнение'!TH15</f>
        <v>0</v>
      </c>
      <c r="CT14" s="103">
        <f>'План и исполнение'!TN15+'План и исполнение'!TR15</f>
        <v>0</v>
      </c>
      <c r="CU14" s="103">
        <f>'План и исполнение'!TP15+'План и исполнение'!TT15</f>
        <v>0</v>
      </c>
      <c r="CV14" s="103">
        <f>'План и исполнение'!UG15+'План и исполнение'!UA15</f>
        <v>0</v>
      </c>
      <c r="CW14" s="101">
        <f>'План и исполнение'!UJ15+'План и исполнение'!UD15</f>
        <v>0</v>
      </c>
      <c r="CX14" s="104">
        <f>'План и исполнение'!UQ15</f>
        <v>0</v>
      </c>
      <c r="CY14" s="103">
        <f>'План и исполнение'!UT15</f>
        <v>0</v>
      </c>
      <c r="CZ14" s="103">
        <f>'План и исполнение'!UW15</f>
        <v>0</v>
      </c>
      <c r="DA14" s="101">
        <f>'План и исполнение'!UZ15</f>
        <v>0</v>
      </c>
      <c r="DC14" s="1018">
        <f t="shared" si="9"/>
        <v>2950</v>
      </c>
      <c r="DD14" s="1018">
        <f t="shared" si="10"/>
        <v>1793.5980099999997</v>
      </c>
      <c r="DG14" s="1410">
        <f t="shared" si="4"/>
        <v>-4930928.58</v>
      </c>
    </row>
    <row r="15" spans="1:111" ht="25.5" customHeight="1" x14ac:dyDescent="0.3">
      <c r="A15" s="105" t="s">
        <v>83</v>
      </c>
      <c r="B15" s="103">
        <f t="shared" si="0"/>
        <v>99577582.030000001</v>
      </c>
      <c r="C15" s="103">
        <f t="shared" si="1"/>
        <v>2548694.33</v>
      </c>
      <c r="D15" s="277">
        <f t="shared" si="2"/>
        <v>96436082.030000001</v>
      </c>
      <c r="E15" s="277">
        <f t="shared" si="3"/>
        <v>768594.45</v>
      </c>
      <c r="F15" s="103">
        <f>'План и исполнение'!CN16</f>
        <v>0</v>
      </c>
      <c r="G15" s="101">
        <f>'План и исполнение'!CP16</f>
        <v>0</v>
      </c>
      <c r="H15" s="100">
        <f>'План и исполнение'!CQ16+'План и исполнение'!CS16</f>
        <v>0</v>
      </c>
      <c r="I15" s="103">
        <f>'План и исполнение'!CR16+'План и исполнение'!CT16</f>
        <v>0</v>
      </c>
      <c r="J15" s="103">
        <f>'План и исполнение'!DI16</f>
        <v>0</v>
      </c>
      <c r="K15" s="101">
        <f>'План и исполнение'!DL16</f>
        <v>0</v>
      </c>
      <c r="L15" s="104">
        <f>'План и исполнение'!DP16</f>
        <v>0</v>
      </c>
      <c r="M15" s="101">
        <f>'План и исполнение'!DX16</f>
        <v>0</v>
      </c>
      <c r="N15" s="104">
        <f>'План и исполнение'!DR16</f>
        <v>363600</v>
      </c>
      <c r="O15" s="103">
        <f>'План и исполнение'!DZ16</f>
        <v>0</v>
      </c>
      <c r="P15" s="101">
        <f>'План и исполнение'!EE16</f>
        <v>0</v>
      </c>
      <c r="Q15" s="103">
        <f>'План и исполнение'!EH16</f>
        <v>0</v>
      </c>
      <c r="R15" s="103">
        <f>'План и исполнение'!EK16</f>
        <v>0</v>
      </c>
      <c r="S15" s="103">
        <f>'План и исполнение'!EP16</f>
        <v>0</v>
      </c>
      <c r="T15" s="103">
        <f>'План и исполнение'!EM16</f>
        <v>0</v>
      </c>
      <c r="U15" s="101">
        <f>'План и исполнение'!ER16</f>
        <v>0</v>
      </c>
      <c r="V15" s="103">
        <f>'План и исполнение'!EU16</f>
        <v>0</v>
      </c>
      <c r="W15" s="101">
        <f>'План и исполнение'!EX16</f>
        <v>0</v>
      </c>
      <c r="X15" s="104">
        <f>'План и исполнение'!FA16</f>
        <v>0</v>
      </c>
      <c r="Y15" s="101">
        <f>'План и исполнение'!FD16</f>
        <v>0</v>
      </c>
      <c r="Z15" s="104">
        <f>'План и исполнение'!FG16</f>
        <v>0</v>
      </c>
      <c r="AA15" s="103">
        <f>'План и исполнение'!FJ16</f>
        <v>0</v>
      </c>
      <c r="AB15" s="103">
        <f>'План и исполнение'!FM16+'План и исполнение'!FS16</f>
        <v>0</v>
      </c>
      <c r="AC15" s="103">
        <f>'План и исполнение'!FP16+'План и исполнение'!FV16</f>
        <v>0</v>
      </c>
      <c r="AD15" s="103">
        <f>'План и исполнение'!GC16</f>
        <v>0</v>
      </c>
      <c r="AE15" s="101">
        <f>'План и исполнение'!GF16</f>
        <v>0</v>
      </c>
      <c r="AF15" s="104">
        <f>'План и исполнение'!GK16+'План и исполнение'!GU16</f>
        <v>229345.17</v>
      </c>
      <c r="AG15" s="103">
        <f>'План и исполнение'!GP16+'План и исполнение'!GZ16</f>
        <v>0</v>
      </c>
      <c r="AH15" s="103">
        <f>'План и исполнение'!GI16+'План и исполнение'!GS16</f>
        <v>0</v>
      </c>
      <c r="AI15" s="103">
        <f>'План и исполнение'!GX16+'План и исполнение'!GN16</f>
        <v>0</v>
      </c>
      <c r="AJ15" s="103">
        <f>'План и исполнение'!HW16</f>
        <v>0</v>
      </c>
      <c r="AK15" s="103">
        <f>'План и исполнение'!HZ16</f>
        <v>0</v>
      </c>
      <c r="AL15" s="103">
        <f>'План и исполнение'!IC16</f>
        <v>0</v>
      </c>
      <c r="AM15" s="101">
        <f>'План и исполнение'!IF16</f>
        <v>0</v>
      </c>
      <c r="AN15" s="104">
        <f>'План и исполнение'!II16</f>
        <v>0</v>
      </c>
      <c r="AO15" s="101">
        <f>'План и исполнение'!IL16</f>
        <v>0</v>
      </c>
      <c r="AP15" s="104">
        <f>'План и исполнение'!IO16+'План и исполнение'!IU16</f>
        <v>860252.10000000009</v>
      </c>
      <c r="AQ15" s="103">
        <f>'План и исполнение'!IR16+'План и исполнение'!IX16</f>
        <v>768594.45</v>
      </c>
      <c r="AR15" s="103">
        <f>'План и исполнение'!JM16</f>
        <v>0</v>
      </c>
      <c r="AS15" s="101">
        <f>'План и исполнение'!JP16</f>
        <v>0</v>
      </c>
      <c r="AT15" s="104">
        <f>'План и исполнение'!JU16+'План и исполнение'!KE16</f>
        <v>0</v>
      </c>
      <c r="AU15" s="103">
        <f>'План и исполнение'!KJ16+'План и исполнение'!JZ16</f>
        <v>0</v>
      </c>
      <c r="AV15" s="103">
        <f>'План и исполнение'!JS16+'План и исполнение'!KC16</f>
        <v>0</v>
      </c>
      <c r="AW15" s="101">
        <f>'План и исполнение'!KH16+'План и исполнение'!JX16</f>
        <v>0</v>
      </c>
      <c r="AX15" s="104">
        <f>'План и исполнение'!LG16</f>
        <v>0</v>
      </c>
      <c r="AY15" s="103">
        <f>'План и исполнение'!LM16</f>
        <v>0</v>
      </c>
      <c r="AZ15" s="103">
        <f>'План и исполнение'!LI16</f>
        <v>0</v>
      </c>
      <c r="BA15" s="101">
        <f>'План и исполнение'!LO16</f>
        <v>0</v>
      </c>
      <c r="BB15" s="104">
        <f>'План и исполнение'!LU16</f>
        <v>0</v>
      </c>
      <c r="BC15" s="101">
        <f>'План и исполнение'!LZ16</f>
        <v>0</v>
      </c>
      <c r="BD15" s="103">
        <f>'План и исполнение'!MD16</f>
        <v>0</v>
      </c>
      <c r="BE15" s="101">
        <f>'План и исполнение'!MH16</f>
        <v>0</v>
      </c>
      <c r="BF15" s="104">
        <f>'План и исполнение'!MO16+'План и исполнение'!MW16</f>
        <v>0</v>
      </c>
      <c r="BG15" s="101">
        <f>'План и исполнение'!MS16+'План и исполнение'!NA16</f>
        <v>0</v>
      </c>
      <c r="BH15" s="103">
        <f>'План и исполнение'!OA16</f>
        <v>20041800</v>
      </c>
      <c r="BI15" s="101">
        <f>'План и исполнение'!OH16</f>
        <v>0</v>
      </c>
      <c r="BJ15" s="103">
        <f>'План и исполнение'!OC16</f>
        <v>8534784.7599999998</v>
      </c>
      <c r="BK15" s="101">
        <f>'План и исполнение'!OJ16</f>
        <v>0</v>
      </c>
      <c r="BL15" s="103">
        <f>'План и исполнение'!OE16+'План и исполнение'!NU16</f>
        <v>66406300</v>
      </c>
      <c r="BM15" s="101">
        <f>'План и исполнение'!OL16+'План и исполнение'!NX16</f>
        <v>0</v>
      </c>
      <c r="BN15" s="100">
        <f>'План и исполнение'!PQ16</f>
        <v>0</v>
      </c>
      <c r="BO15" s="101">
        <f>'План и исполнение'!PT16</f>
        <v>0</v>
      </c>
      <c r="BP15" s="103">
        <f>'План и исполнение'!PW16+'План и исполнение'!QC16</f>
        <v>0</v>
      </c>
      <c r="BQ15" s="103">
        <f>'План и исполнение'!PZ16+'План и исполнение'!QF16</f>
        <v>0</v>
      </c>
      <c r="BR15" s="103">
        <f t="shared" si="5"/>
        <v>3141500</v>
      </c>
      <c r="BS15" s="101">
        <f t="shared" si="6"/>
        <v>1780099.88</v>
      </c>
      <c r="BT15" s="104">
        <f>'План и исполнение'!RM16</f>
        <v>1637500</v>
      </c>
      <c r="BU15" s="101">
        <f>'План и исполнение'!RN16</f>
        <v>715107.14</v>
      </c>
      <c r="BV15" s="100">
        <f>'План и исполнение'!RO16</f>
        <v>4000</v>
      </c>
      <c r="BW15" s="100">
        <f>'План и исполнение'!RP16</f>
        <v>0</v>
      </c>
      <c r="BX15" s="279">
        <f>'План и исполнение'!RQ16</f>
        <v>0</v>
      </c>
      <c r="BY15" s="168">
        <f>'План и исполнение'!RR16</f>
        <v>0</v>
      </c>
      <c r="BZ15" s="170">
        <f>'План и исполнение'!RS16</f>
        <v>0</v>
      </c>
      <c r="CA15" s="168">
        <f>'План и исполнение'!RT16</f>
        <v>0</v>
      </c>
      <c r="CB15" s="170">
        <f>'План и исполнение'!RU16</f>
        <v>0</v>
      </c>
      <c r="CC15" s="168">
        <f>'План и исполнение'!RV16</f>
        <v>0</v>
      </c>
      <c r="CD15" s="103">
        <f>'План и исполнение'!RW16</f>
        <v>0</v>
      </c>
      <c r="CE15" s="101">
        <f>'План и исполнение'!RX16</f>
        <v>0</v>
      </c>
      <c r="CF15" s="103">
        <f>'План и исполнение'!SB16</f>
        <v>1500000</v>
      </c>
      <c r="CG15" s="103">
        <f>'План и исполнение'!SF16</f>
        <v>1064992.74</v>
      </c>
      <c r="CH15" s="103">
        <f>'План и исполнение'!SA16</f>
        <v>0</v>
      </c>
      <c r="CI15" s="101">
        <f>'План и исполнение'!SE16</f>
        <v>0</v>
      </c>
      <c r="CJ15" s="104">
        <f t="shared" si="7"/>
        <v>0</v>
      </c>
      <c r="CK15" s="101">
        <f t="shared" si="8"/>
        <v>0</v>
      </c>
      <c r="CL15" s="104">
        <f>'План и исполнение'!VC16</f>
        <v>0</v>
      </c>
      <c r="CM15" s="103">
        <f>'План и исполнение'!VG16</f>
        <v>0</v>
      </c>
      <c r="CN15" s="103">
        <f>'План и исполнение'!SK16</f>
        <v>0</v>
      </c>
      <c r="CO15" s="101">
        <f>'План и исполнение'!SN16</f>
        <v>0</v>
      </c>
      <c r="CP15" s="104">
        <f>'План и исполнение'!SP16+'План и исполнение'!ST16</f>
        <v>0</v>
      </c>
      <c r="CQ15" s="101">
        <f>'План и исполнение'!SR16+'План и исполнение'!SV16</f>
        <v>0</v>
      </c>
      <c r="CR15" s="104">
        <f>'План и исполнение'!TB16+'План и исполнение'!TF16</f>
        <v>0</v>
      </c>
      <c r="CS15" s="103">
        <f>'План и исполнение'!TD16+'План и исполнение'!TH16</f>
        <v>0</v>
      </c>
      <c r="CT15" s="103">
        <f>'План и исполнение'!TN16+'План и исполнение'!TR16</f>
        <v>0</v>
      </c>
      <c r="CU15" s="103">
        <f>'План и исполнение'!TP16+'План и исполнение'!TT16</f>
        <v>0</v>
      </c>
      <c r="CV15" s="103">
        <f>'План и исполнение'!UG16+'План и исполнение'!UA16</f>
        <v>0</v>
      </c>
      <c r="CW15" s="101">
        <f>'План и исполнение'!UJ16+'План и исполнение'!UD16</f>
        <v>0</v>
      </c>
      <c r="CX15" s="104">
        <f>'План и исполнение'!UQ16</f>
        <v>0</v>
      </c>
      <c r="CY15" s="103">
        <f>'План и исполнение'!UT16</f>
        <v>0</v>
      </c>
      <c r="CZ15" s="103">
        <f>'План и исполнение'!UW16</f>
        <v>0</v>
      </c>
      <c r="DA15" s="101">
        <f>'План и исполнение'!UZ16</f>
        <v>0</v>
      </c>
      <c r="DC15" s="1018">
        <f t="shared" si="9"/>
        <v>1504</v>
      </c>
      <c r="DD15" s="1018">
        <f t="shared" si="10"/>
        <v>1064.9927399999997</v>
      </c>
      <c r="DG15" s="1410">
        <f t="shared" si="4"/>
        <v>-96436082.030000001</v>
      </c>
    </row>
    <row r="16" spans="1:111" ht="25.5" customHeight="1" x14ac:dyDescent="0.3">
      <c r="A16" s="102" t="s">
        <v>84</v>
      </c>
      <c r="B16" s="103">
        <f t="shared" si="0"/>
        <v>29262097.789999999</v>
      </c>
      <c r="C16" s="103">
        <f t="shared" si="1"/>
        <v>12203592.539999997</v>
      </c>
      <c r="D16" s="277">
        <f t="shared" si="2"/>
        <v>26859597.789999999</v>
      </c>
      <c r="E16" s="277">
        <f t="shared" si="3"/>
        <v>10864051.009999998</v>
      </c>
      <c r="F16" s="103">
        <f>'План и исполнение'!CN17</f>
        <v>0</v>
      </c>
      <c r="G16" s="101">
        <f>'План и исполнение'!CP17</f>
        <v>0</v>
      </c>
      <c r="H16" s="100">
        <f>'План и исполнение'!CQ17+'План и исполнение'!CS17</f>
        <v>0</v>
      </c>
      <c r="I16" s="103">
        <f>'План и исполнение'!CR17+'План и исполнение'!CT17</f>
        <v>0</v>
      </c>
      <c r="J16" s="103">
        <f>'План и исполнение'!DI17</f>
        <v>0</v>
      </c>
      <c r="K16" s="101">
        <f>'План и исполнение'!DL17</f>
        <v>0</v>
      </c>
      <c r="L16" s="104">
        <f>'План и исполнение'!DP17</f>
        <v>0</v>
      </c>
      <c r="M16" s="101">
        <f>'План и исполнение'!DX17</f>
        <v>0</v>
      </c>
      <c r="N16" s="104">
        <f>'План и исполнение'!DR17</f>
        <v>0</v>
      </c>
      <c r="O16" s="103">
        <f>'План и исполнение'!DZ17</f>
        <v>0</v>
      </c>
      <c r="P16" s="101">
        <f>'План и исполнение'!EE17</f>
        <v>0</v>
      </c>
      <c r="Q16" s="103">
        <f>'План и исполнение'!EH17</f>
        <v>0</v>
      </c>
      <c r="R16" s="103">
        <f>'План и исполнение'!EK17</f>
        <v>0</v>
      </c>
      <c r="S16" s="103">
        <f>'План и исполнение'!EP17</f>
        <v>0</v>
      </c>
      <c r="T16" s="103">
        <f>'План и исполнение'!EM17</f>
        <v>0</v>
      </c>
      <c r="U16" s="101">
        <f>'План и исполнение'!ER17</f>
        <v>0</v>
      </c>
      <c r="V16" s="103">
        <f>'План и исполнение'!EU17</f>
        <v>0</v>
      </c>
      <c r="W16" s="101">
        <f>'План и исполнение'!EX17</f>
        <v>0</v>
      </c>
      <c r="X16" s="104">
        <f>'План и исполнение'!FA17</f>
        <v>0</v>
      </c>
      <c r="Y16" s="101">
        <f>'План и исполнение'!FD17</f>
        <v>0</v>
      </c>
      <c r="Z16" s="104">
        <f>'План и исполнение'!FG17</f>
        <v>0</v>
      </c>
      <c r="AA16" s="103">
        <f>'План и исполнение'!FJ17</f>
        <v>0</v>
      </c>
      <c r="AB16" s="103">
        <f>'План и исполнение'!FM17+'План и исполнение'!FS17</f>
        <v>0</v>
      </c>
      <c r="AC16" s="103">
        <f>'План и исполнение'!FP17+'План и исполнение'!FV17</f>
        <v>0</v>
      </c>
      <c r="AD16" s="103">
        <f>'План и исполнение'!GC17</f>
        <v>0</v>
      </c>
      <c r="AE16" s="101">
        <f>'План и исполнение'!GF17</f>
        <v>0</v>
      </c>
      <c r="AF16" s="104">
        <f>'План и исполнение'!GK17+'План и исполнение'!GU17</f>
        <v>646784.37999999989</v>
      </c>
      <c r="AG16" s="103">
        <f>'План и исполнение'!GP17+'План и исполнение'!GZ17</f>
        <v>184382.62</v>
      </c>
      <c r="AH16" s="103">
        <f>'План и исполнение'!GI17+'План и исполнение'!GS17</f>
        <v>0</v>
      </c>
      <c r="AI16" s="103">
        <f>'План и исполнение'!GX17+'План и исполнение'!GN17</f>
        <v>0</v>
      </c>
      <c r="AJ16" s="103">
        <f>'План и исполнение'!HW17</f>
        <v>0</v>
      </c>
      <c r="AK16" s="103">
        <f>'План и исполнение'!HZ17</f>
        <v>0</v>
      </c>
      <c r="AL16" s="103">
        <f>'План и исполнение'!IC17</f>
        <v>0</v>
      </c>
      <c r="AM16" s="101">
        <f>'План и исполнение'!IF17</f>
        <v>0</v>
      </c>
      <c r="AN16" s="104">
        <f>'План и исполнение'!II17</f>
        <v>0</v>
      </c>
      <c r="AO16" s="101">
        <f>'План и исполнение'!IL17</f>
        <v>0</v>
      </c>
      <c r="AP16" s="104">
        <f>'План и исполнение'!IO17+'План и исполнение'!IU17</f>
        <v>955749</v>
      </c>
      <c r="AQ16" s="103">
        <f>'План и исполнение'!IR17+'План и исполнение'!IX17</f>
        <v>683019.62</v>
      </c>
      <c r="AR16" s="103">
        <f>'План и исполнение'!JM17</f>
        <v>24211700</v>
      </c>
      <c r="AS16" s="101">
        <f>'План и исполнение'!JP17</f>
        <v>9996648.7699999996</v>
      </c>
      <c r="AT16" s="104">
        <f>'План и исполнение'!JU17+'План и исполнение'!KE17</f>
        <v>0</v>
      </c>
      <c r="AU16" s="103">
        <f>'План и исполнение'!KJ17+'План и исполнение'!JZ17</f>
        <v>0</v>
      </c>
      <c r="AV16" s="103">
        <f>'План и исполнение'!JS17+'План и исполнение'!KC17</f>
        <v>0</v>
      </c>
      <c r="AW16" s="101">
        <f>'План и исполнение'!KH17+'План и исполнение'!JX17</f>
        <v>0</v>
      </c>
      <c r="AX16" s="104">
        <f>'План и исполнение'!LG17</f>
        <v>0</v>
      </c>
      <c r="AY16" s="103">
        <f>'План и исполнение'!LM17</f>
        <v>0</v>
      </c>
      <c r="AZ16" s="103">
        <f>'План и исполнение'!LI17</f>
        <v>0</v>
      </c>
      <c r="BA16" s="101">
        <f>'План и исполнение'!LO17</f>
        <v>0</v>
      </c>
      <c r="BB16" s="104">
        <f>'План и исполнение'!LU17</f>
        <v>0</v>
      </c>
      <c r="BC16" s="101">
        <f>'План и исполнение'!LZ17</f>
        <v>0</v>
      </c>
      <c r="BD16" s="103">
        <f>'План и исполнение'!MD17</f>
        <v>0</v>
      </c>
      <c r="BE16" s="101">
        <f>'План и исполнение'!MH17</f>
        <v>0</v>
      </c>
      <c r="BF16" s="104">
        <f>'План и исполнение'!MO17+'План и исполнение'!MW17</f>
        <v>0</v>
      </c>
      <c r="BG16" s="101">
        <f>'План и исполнение'!MS17+'План и исполнение'!NA17</f>
        <v>0</v>
      </c>
      <c r="BH16" s="103">
        <f>'План и исполнение'!OA17</f>
        <v>0</v>
      </c>
      <c r="BI16" s="101">
        <f>'План и исполнение'!OH17</f>
        <v>0</v>
      </c>
      <c r="BJ16" s="103">
        <f>'План и исполнение'!OC17</f>
        <v>1045364.4099999999</v>
      </c>
      <c r="BK16" s="101">
        <f>'План и исполнение'!OJ17</f>
        <v>0</v>
      </c>
      <c r="BL16" s="103">
        <f>'План и исполнение'!OE17+'План и исполнение'!NU17</f>
        <v>0</v>
      </c>
      <c r="BM16" s="101">
        <f>'План и исполнение'!OL17+'План и исполнение'!NX17</f>
        <v>0</v>
      </c>
      <c r="BN16" s="100">
        <f>'План и исполнение'!PQ17</f>
        <v>0</v>
      </c>
      <c r="BO16" s="101">
        <f>'План и исполнение'!PT17</f>
        <v>0</v>
      </c>
      <c r="BP16" s="103">
        <f>'План и исполнение'!PW17+'План и исполнение'!QC17</f>
        <v>0</v>
      </c>
      <c r="BQ16" s="103">
        <f>'План и исполнение'!PZ17+'План и исполнение'!QF17</f>
        <v>0</v>
      </c>
      <c r="BR16" s="103">
        <f t="shared" si="5"/>
        <v>2402500</v>
      </c>
      <c r="BS16" s="101">
        <f t="shared" si="6"/>
        <v>1339541.53</v>
      </c>
      <c r="BT16" s="104">
        <f>'План и исполнение'!RM17</f>
        <v>1047500</v>
      </c>
      <c r="BU16" s="101">
        <f>'План и исполнение'!RN17</f>
        <v>487000.79</v>
      </c>
      <c r="BV16" s="100">
        <f>'План и исполнение'!RO17</f>
        <v>5000</v>
      </c>
      <c r="BW16" s="100">
        <f>'План и исполнение'!RP17</f>
        <v>0</v>
      </c>
      <c r="BX16" s="279">
        <f>'План и исполнение'!RQ17</f>
        <v>0</v>
      </c>
      <c r="BY16" s="168">
        <f>'План и исполнение'!RR17</f>
        <v>0</v>
      </c>
      <c r="BZ16" s="170">
        <f>'План и исполнение'!RS17</f>
        <v>0</v>
      </c>
      <c r="CA16" s="168">
        <f>'План и исполнение'!RT17</f>
        <v>0</v>
      </c>
      <c r="CB16" s="170">
        <f>'План и исполнение'!RU17</f>
        <v>0</v>
      </c>
      <c r="CC16" s="168">
        <f>'План и исполнение'!RV17</f>
        <v>0</v>
      </c>
      <c r="CD16" s="103">
        <f>'План и исполнение'!RW17</f>
        <v>0</v>
      </c>
      <c r="CE16" s="101">
        <f>'План и исполнение'!RX17</f>
        <v>0</v>
      </c>
      <c r="CF16" s="103">
        <f>'План и исполнение'!SB17</f>
        <v>1350000</v>
      </c>
      <c r="CG16" s="103">
        <f>'План и исполнение'!SF17</f>
        <v>852540.74</v>
      </c>
      <c r="CH16" s="103">
        <f>'План и исполнение'!SA17</f>
        <v>0</v>
      </c>
      <c r="CI16" s="101">
        <f>'План и исполнение'!SE17</f>
        <v>0</v>
      </c>
      <c r="CJ16" s="104">
        <f t="shared" si="7"/>
        <v>0</v>
      </c>
      <c r="CK16" s="101">
        <f t="shared" si="8"/>
        <v>0</v>
      </c>
      <c r="CL16" s="104">
        <f>'План и исполнение'!VC17</f>
        <v>0</v>
      </c>
      <c r="CM16" s="103">
        <f>'План и исполнение'!VG17</f>
        <v>0</v>
      </c>
      <c r="CN16" s="103">
        <f>'План и исполнение'!SK17</f>
        <v>0</v>
      </c>
      <c r="CO16" s="101">
        <f>'План и исполнение'!SN17</f>
        <v>0</v>
      </c>
      <c r="CP16" s="104">
        <f>'План и исполнение'!SP17+'План и исполнение'!ST17</f>
        <v>0</v>
      </c>
      <c r="CQ16" s="101">
        <f>'План и исполнение'!SR17+'План и исполнение'!SV17</f>
        <v>0</v>
      </c>
      <c r="CR16" s="104">
        <f>'План и исполнение'!TB17+'План и исполнение'!TF17</f>
        <v>0</v>
      </c>
      <c r="CS16" s="103">
        <f>'План и исполнение'!TD17+'План и исполнение'!TH17</f>
        <v>0</v>
      </c>
      <c r="CT16" s="103">
        <f>'План и исполнение'!TN17+'План и исполнение'!TR17</f>
        <v>0</v>
      </c>
      <c r="CU16" s="103">
        <f>'План и исполнение'!TP17+'План и исполнение'!TT17</f>
        <v>0</v>
      </c>
      <c r="CV16" s="103">
        <f>'План и исполнение'!UG17+'План и исполнение'!UA17</f>
        <v>0</v>
      </c>
      <c r="CW16" s="101">
        <f>'План и исполнение'!UJ17+'План и исполнение'!UD17</f>
        <v>0</v>
      </c>
      <c r="CX16" s="104">
        <f>'План и исполнение'!UQ17</f>
        <v>0</v>
      </c>
      <c r="CY16" s="103">
        <f>'План и исполнение'!UT17</f>
        <v>0</v>
      </c>
      <c r="CZ16" s="103">
        <f>'План и исполнение'!UW17</f>
        <v>0</v>
      </c>
      <c r="DA16" s="101">
        <f>'План и исполнение'!UZ17</f>
        <v>0</v>
      </c>
      <c r="DC16" s="1018">
        <f t="shared" si="9"/>
        <v>1355</v>
      </c>
      <c r="DD16" s="1018">
        <f t="shared" si="10"/>
        <v>852.54074000000003</v>
      </c>
      <c r="DG16" s="1410">
        <f t="shared" si="4"/>
        <v>-26859597.789999999</v>
      </c>
    </row>
    <row r="17" spans="1:111" ht="25.5" customHeight="1" x14ac:dyDescent="0.3">
      <c r="A17" s="105" t="s">
        <v>85</v>
      </c>
      <c r="B17" s="103">
        <f t="shared" si="0"/>
        <v>69830192.019999996</v>
      </c>
      <c r="C17" s="103">
        <f t="shared" si="1"/>
        <v>18653592.050000001</v>
      </c>
      <c r="D17" s="277">
        <f t="shared" si="2"/>
        <v>65867292.019999996</v>
      </c>
      <c r="E17" s="277">
        <f t="shared" si="3"/>
        <v>16297828.960000001</v>
      </c>
      <c r="F17" s="103">
        <f>'План и исполнение'!CN18</f>
        <v>0</v>
      </c>
      <c r="G17" s="101">
        <f>'План и исполнение'!CP18</f>
        <v>0</v>
      </c>
      <c r="H17" s="100">
        <f>'План и исполнение'!CQ18+'План и исполнение'!CS18</f>
        <v>35043774.009999998</v>
      </c>
      <c r="I17" s="103">
        <f>'План и исполнение'!CR18+'План и исполнение'!CT18</f>
        <v>11992573.129999999</v>
      </c>
      <c r="J17" s="103">
        <f>'План и исполнение'!DI18</f>
        <v>0</v>
      </c>
      <c r="K17" s="101">
        <f>'План и исполнение'!DL18</f>
        <v>0</v>
      </c>
      <c r="L17" s="104">
        <f>'План и исполнение'!DP18</f>
        <v>0</v>
      </c>
      <c r="M17" s="101">
        <f>'План и исполнение'!DX18</f>
        <v>0</v>
      </c>
      <c r="N17" s="104">
        <f>'План и исполнение'!DR18</f>
        <v>0</v>
      </c>
      <c r="O17" s="103">
        <f>'План и исполнение'!DZ18</f>
        <v>0</v>
      </c>
      <c r="P17" s="101">
        <f>'План и исполнение'!EE18</f>
        <v>0</v>
      </c>
      <c r="Q17" s="103">
        <f>'План и исполнение'!EH18</f>
        <v>0</v>
      </c>
      <c r="R17" s="103">
        <f>'План и исполнение'!EK18</f>
        <v>2859675</v>
      </c>
      <c r="S17" s="103">
        <f>'План и исполнение'!EP18</f>
        <v>1839220.21</v>
      </c>
      <c r="T17" s="103">
        <f>'План и исполнение'!EM18</f>
        <v>0</v>
      </c>
      <c r="U17" s="101">
        <f>'План и исполнение'!ER18</f>
        <v>0</v>
      </c>
      <c r="V17" s="103">
        <f>'План и исполнение'!EU18</f>
        <v>0</v>
      </c>
      <c r="W17" s="101">
        <f>'План и исполнение'!EX18</f>
        <v>0</v>
      </c>
      <c r="X17" s="104">
        <f>'План и исполнение'!FA18</f>
        <v>0</v>
      </c>
      <c r="Y17" s="101">
        <f>'План и исполнение'!FD18</f>
        <v>0</v>
      </c>
      <c r="Z17" s="104">
        <f>'План и исполнение'!FG18</f>
        <v>0</v>
      </c>
      <c r="AA17" s="103">
        <f>'План и исполнение'!FJ18</f>
        <v>0</v>
      </c>
      <c r="AB17" s="103">
        <f>'План и исполнение'!FM18+'План и исполнение'!FS18</f>
        <v>0</v>
      </c>
      <c r="AC17" s="103">
        <f>'План и исполнение'!FP18+'План и исполнение'!FV18</f>
        <v>0</v>
      </c>
      <c r="AD17" s="103">
        <f>'План и исполнение'!GC18</f>
        <v>16640800</v>
      </c>
      <c r="AE17" s="101">
        <f>'План и исполнение'!GF18</f>
        <v>0</v>
      </c>
      <c r="AF17" s="104">
        <f>'План и исполнение'!GK18+'План и исполнение'!GU18</f>
        <v>942275.44</v>
      </c>
      <c r="AG17" s="103">
        <f>'План и исполнение'!GP18+'План и исполнение'!GZ18</f>
        <v>459213.81</v>
      </c>
      <c r="AH17" s="103">
        <f>'План и исполнение'!GI18+'План и исполнение'!GS18</f>
        <v>0</v>
      </c>
      <c r="AI17" s="103">
        <f>'План и исполнение'!GX18+'План и исполнение'!GN18</f>
        <v>0</v>
      </c>
      <c r="AJ17" s="103">
        <f>'План и исполнение'!HW18</f>
        <v>0</v>
      </c>
      <c r="AK17" s="103">
        <f>'План и исполнение'!HZ18</f>
        <v>0</v>
      </c>
      <c r="AL17" s="103">
        <f>'План и исполнение'!IC18</f>
        <v>0</v>
      </c>
      <c r="AM17" s="101">
        <f>'План и исполнение'!IF18</f>
        <v>0</v>
      </c>
      <c r="AN17" s="104">
        <f>'План и исполнение'!II18</f>
        <v>0</v>
      </c>
      <c r="AO17" s="101">
        <f>'План и исполнение'!IL18</f>
        <v>0</v>
      </c>
      <c r="AP17" s="104">
        <f>'План и исполнение'!IO18+'План и исполнение'!IU18</f>
        <v>1746424.96</v>
      </c>
      <c r="AQ17" s="103">
        <f>'План и исполнение'!IR18+'План и исполнение'!IX18</f>
        <v>1307368.6600000001</v>
      </c>
      <c r="AR17" s="103">
        <f>'План и исполнение'!JM18</f>
        <v>0</v>
      </c>
      <c r="AS17" s="101">
        <f>'План и исполнение'!JP18</f>
        <v>0</v>
      </c>
      <c r="AT17" s="104">
        <f>'План и исполнение'!JU18+'План и исполнение'!KE18</f>
        <v>5208.26</v>
      </c>
      <c r="AU17" s="103">
        <f>'План и исполнение'!KJ18+'План и исполнение'!JZ18</f>
        <v>0</v>
      </c>
      <c r="AV17" s="103">
        <f>'План и исполнение'!JS18+'План и исполнение'!KC18</f>
        <v>0</v>
      </c>
      <c r="AW17" s="101">
        <f>'План и исполнение'!KH18+'План и исполнение'!JX18</f>
        <v>0</v>
      </c>
      <c r="AX17" s="104">
        <f>'План и исполнение'!LG18</f>
        <v>0</v>
      </c>
      <c r="AY17" s="103">
        <f>'План и исполнение'!LM18</f>
        <v>0</v>
      </c>
      <c r="AZ17" s="103">
        <f>'План и исполнение'!LI18</f>
        <v>0</v>
      </c>
      <c r="BA17" s="101">
        <f>'План и исполнение'!LO18</f>
        <v>0</v>
      </c>
      <c r="BB17" s="104">
        <f>'План и исполнение'!LU18</f>
        <v>0</v>
      </c>
      <c r="BC17" s="101">
        <f>'План и исполнение'!LZ18</f>
        <v>0</v>
      </c>
      <c r="BD17" s="103">
        <f>'План и исполнение'!MD18</f>
        <v>0</v>
      </c>
      <c r="BE17" s="101">
        <f>'План и исполнение'!MH18</f>
        <v>0</v>
      </c>
      <c r="BF17" s="104">
        <f>'План и исполнение'!MO18+'План и исполнение'!MW18</f>
        <v>0</v>
      </c>
      <c r="BG17" s="101">
        <f>'План и исполнение'!MS18+'План и исполнение'!NA18</f>
        <v>0</v>
      </c>
      <c r="BH17" s="103">
        <f>'План и исполнение'!OA18</f>
        <v>0</v>
      </c>
      <c r="BI17" s="101">
        <f>'План и исполнение'!OH18</f>
        <v>0</v>
      </c>
      <c r="BJ17" s="103">
        <f>'План и исполнение'!OC18</f>
        <v>8629134.3499999996</v>
      </c>
      <c r="BK17" s="101">
        <f>'План и исполнение'!OJ18</f>
        <v>699453.15</v>
      </c>
      <c r="BL17" s="103">
        <f>'План и исполнение'!OE18+'План и исполнение'!NU18</f>
        <v>0</v>
      </c>
      <c r="BM17" s="101">
        <f>'План и исполнение'!OL18+'План и исполнение'!NX18</f>
        <v>0</v>
      </c>
      <c r="BN17" s="100">
        <f>'План и исполнение'!PQ18</f>
        <v>0</v>
      </c>
      <c r="BO17" s="101">
        <f>'План и исполнение'!PT18</f>
        <v>0</v>
      </c>
      <c r="BP17" s="103">
        <f>'План и исполнение'!PW18+'План и исполнение'!QC18</f>
        <v>0</v>
      </c>
      <c r="BQ17" s="103">
        <f>'План и исполнение'!PZ18+'План и исполнение'!QF18</f>
        <v>0</v>
      </c>
      <c r="BR17" s="103">
        <f t="shared" si="5"/>
        <v>3962900</v>
      </c>
      <c r="BS17" s="101">
        <f t="shared" si="6"/>
        <v>2355763.09</v>
      </c>
      <c r="BT17" s="104">
        <f>'План и исполнение'!RM18</f>
        <v>1657900</v>
      </c>
      <c r="BU17" s="101">
        <f>'План и исполнение'!RN18</f>
        <v>824060.19</v>
      </c>
      <c r="BV17" s="100">
        <f>'План и исполнение'!RO18</f>
        <v>5000</v>
      </c>
      <c r="BW17" s="100">
        <f>'План и исполнение'!RP18</f>
        <v>0</v>
      </c>
      <c r="BX17" s="279">
        <f>'План и исполнение'!RQ18</f>
        <v>0</v>
      </c>
      <c r="BY17" s="168">
        <f>'План и исполнение'!RR18</f>
        <v>0</v>
      </c>
      <c r="BZ17" s="170">
        <f>'План и исполнение'!RS18</f>
        <v>0</v>
      </c>
      <c r="CA17" s="168">
        <f>'План и исполнение'!RT18</f>
        <v>0</v>
      </c>
      <c r="CB17" s="170">
        <f>'План и исполнение'!RU18</f>
        <v>0</v>
      </c>
      <c r="CC17" s="168">
        <f>'План и исполнение'!RV18</f>
        <v>0</v>
      </c>
      <c r="CD17" s="103">
        <f>'План и исполнение'!RW18</f>
        <v>0</v>
      </c>
      <c r="CE17" s="101">
        <f>'План и исполнение'!RX18</f>
        <v>0</v>
      </c>
      <c r="CF17" s="103">
        <f>'План и исполнение'!SB18</f>
        <v>2300000</v>
      </c>
      <c r="CG17" s="103">
        <f>'План и исполнение'!SF18</f>
        <v>1531702.9</v>
      </c>
      <c r="CH17" s="103">
        <f>'План и исполнение'!SA18</f>
        <v>0</v>
      </c>
      <c r="CI17" s="101">
        <f>'План и исполнение'!SE18</f>
        <v>0</v>
      </c>
      <c r="CJ17" s="104">
        <f t="shared" si="7"/>
        <v>0</v>
      </c>
      <c r="CK17" s="101">
        <f t="shared" si="8"/>
        <v>0</v>
      </c>
      <c r="CL17" s="104">
        <f>'План и исполнение'!VC18</f>
        <v>0</v>
      </c>
      <c r="CM17" s="103">
        <f>'План и исполнение'!VG18</f>
        <v>0</v>
      </c>
      <c r="CN17" s="103">
        <f>'План и исполнение'!SK18</f>
        <v>0</v>
      </c>
      <c r="CO17" s="101">
        <f>'План и исполнение'!SN18</f>
        <v>0</v>
      </c>
      <c r="CP17" s="104">
        <f>'План и исполнение'!SP18+'План и исполнение'!ST18</f>
        <v>0</v>
      </c>
      <c r="CQ17" s="101">
        <f>'План и исполнение'!SR18+'План и исполнение'!SV18</f>
        <v>0</v>
      </c>
      <c r="CR17" s="104">
        <f>'План и исполнение'!TB18+'План и исполнение'!TF18</f>
        <v>0</v>
      </c>
      <c r="CS17" s="103">
        <f>'План и исполнение'!TD18+'План и исполнение'!TH18</f>
        <v>0</v>
      </c>
      <c r="CT17" s="103">
        <f>'План и исполнение'!TN18+'План и исполнение'!TR18</f>
        <v>0</v>
      </c>
      <c r="CU17" s="103">
        <f>'План и исполнение'!TP18+'План и исполнение'!TT18</f>
        <v>0</v>
      </c>
      <c r="CV17" s="103">
        <f>'План и исполнение'!UG18+'План и исполнение'!UA18</f>
        <v>0</v>
      </c>
      <c r="CW17" s="101">
        <f>'План и исполнение'!UJ18+'План и исполнение'!UD18</f>
        <v>0</v>
      </c>
      <c r="CX17" s="104">
        <f>'План и исполнение'!UQ18</f>
        <v>0</v>
      </c>
      <c r="CY17" s="103">
        <f>'План и исполнение'!UT18</f>
        <v>0</v>
      </c>
      <c r="CZ17" s="103">
        <f>'План и исполнение'!UW18</f>
        <v>0</v>
      </c>
      <c r="DA17" s="101">
        <f>'План и исполнение'!UZ18</f>
        <v>0</v>
      </c>
      <c r="DC17" s="1018">
        <f t="shared" si="9"/>
        <v>2305</v>
      </c>
      <c r="DD17" s="1018">
        <f t="shared" si="10"/>
        <v>1531.7029</v>
      </c>
      <c r="DG17" s="1410">
        <f t="shared" si="4"/>
        <v>-65867292.019999996</v>
      </c>
    </row>
    <row r="18" spans="1:111" ht="25.5" customHeight="1" x14ac:dyDescent="0.3">
      <c r="A18" s="102" t="s">
        <v>86</v>
      </c>
      <c r="B18" s="103">
        <f t="shared" si="0"/>
        <v>53395846.82</v>
      </c>
      <c r="C18" s="103">
        <f t="shared" si="1"/>
        <v>9993872.5199999996</v>
      </c>
      <c r="D18" s="277">
        <f t="shared" si="2"/>
        <v>48191379.82</v>
      </c>
      <c r="E18" s="277">
        <f t="shared" si="3"/>
        <v>6870223.2700000005</v>
      </c>
      <c r="F18" s="103">
        <f>'План и исполнение'!CN19</f>
        <v>0</v>
      </c>
      <c r="G18" s="101">
        <f>'План и исполнение'!CP19</f>
        <v>0</v>
      </c>
      <c r="H18" s="100">
        <f>'План и исполнение'!CQ19+'План и исполнение'!CS19</f>
        <v>0</v>
      </c>
      <c r="I18" s="103">
        <f>'План и исполнение'!CR19+'План и исполнение'!CT19</f>
        <v>0</v>
      </c>
      <c r="J18" s="103">
        <f>'План и исполнение'!DI19</f>
        <v>0</v>
      </c>
      <c r="K18" s="101">
        <f>'План и исполнение'!DL19</f>
        <v>0</v>
      </c>
      <c r="L18" s="104">
        <f>'План и исполнение'!DP19</f>
        <v>0</v>
      </c>
      <c r="M18" s="101">
        <f>'План и исполнение'!DX19</f>
        <v>0</v>
      </c>
      <c r="N18" s="104">
        <f>'План и исполнение'!DR19</f>
        <v>0</v>
      </c>
      <c r="O18" s="103">
        <f>'План и исполнение'!DZ19</f>
        <v>0</v>
      </c>
      <c r="P18" s="101">
        <f>'План и исполнение'!EE19</f>
        <v>0</v>
      </c>
      <c r="Q18" s="103">
        <f>'План и исполнение'!EH19</f>
        <v>0</v>
      </c>
      <c r="R18" s="103">
        <f>'План и исполнение'!EK19</f>
        <v>2859675</v>
      </c>
      <c r="S18" s="103">
        <f>'План и исполнение'!EP19</f>
        <v>1962853.89</v>
      </c>
      <c r="T18" s="103">
        <f>'План и исполнение'!EM19</f>
        <v>0</v>
      </c>
      <c r="U18" s="101">
        <f>'План и исполнение'!ER19</f>
        <v>0</v>
      </c>
      <c r="V18" s="103">
        <f>'План и исполнение'!EU19</f>
        <v>0</v>
      </c>
      <c r="W18" s="101">
        <f>'План и исполнение'!EX19</f>
        <v>0</v>
      </c>
      <c r="X18" s="104">
        <f>'План и исполнение'!FA19</f>
        <v>0</v>
      </c>
      <c r="Y18" s="101">
        <f>'План и исполнение'!FD19</f>
        <v>0</v>
      </c>
      <c r="Z18" s="104">
        <f>'План и исполнение'!FG19</f>
        <v>0</v>
      </c>
      <c r="AA18" s="103">
        <f>'План и исполнение'!FJ19</f>
        <v>0</v>
      </c>
      <c r="AB18" s="103">
        <f>'План и исполнение'!FM19+'План и исполнение'!FS19</f>
        <v>0</v>
      </c>
      <c r="AC18" s="103">
        <f>'План и исполнение'!FP19+'План и исполнение'!FV19</f>
        <v>0</v>
      </c>
      <c r="AD18" s="103">
        <f>'План и исполнение'!GC19</f>
        <v>0</v>
      </c>
      <c r="AE18" s="101">
        <f>'План и исполнение'!GF19</f>
        <v>0</v>
      </c>
      <c r="AF18" s="104">
        <f>'План и исполнение'!GK19+'План и исполнение'!GU19</f>
        <v>257870.98</v>
      </c>
      <c r="AG18" s="103">
        <f>'План и исполнение'!GP19+'План и исполнение'!GZ19</f>
        <v>155545.87</v>
      </c>
      <c r="AH18" s="103">
        <f>'План и исполнение'!GI19+'План и исполнение'!GS19</f>
        <v>0</v>
      </c>
      <c r="AI18" s="103">
        <f>'План и исполнение'!GX19+'План и исполнение'!GN19</f>
        <v>0</v>
      </c>
      <c r="AJ18" s="103">
        <f>'План и исполнение'!HW19</f>
        <v>0</v>
      </c>
      <c r="AK18" s="103">
        <f>'План и исполнение'!HZ19</f>
        <v>0</v>
      </c>
      <c r="AL18" s="103">
        <f>'План и исполнение'!IC19</f>
        <v>0</v>
      </c>
      <c r="AM18" s="101">
        <f>'План и исполнение'!IF19</f>
        <v>0</v>
      </c>
      <c r="AN18" s="104">
        <f>'План и исполнение'!II19</f>
        <v>0</v>
      </c>
      <c r="AO18" s="101">
        <f>'План и исполнение'!IL19</f>
        <v>0</v>
      </c>
      <c r="AP18" s="104">
        <f>'План и исполнение'!IO19+'План и исполнение'!IU19</f>
        <v>2023440.0100000002</v>
      </c>
      <c r="AQ18" s="103">
        <f>'План и исполнение'!IR19+'План и исполнение'!IX19</f>
        <v>1249419.3700000001</v>
      </c>
      <c r="AR18" s="103">
        <f>'План и исполнение'!JM19</f>
        <v>0</v>
      </c>
      <c r="AS18" s="101">
        <f>'План и исполнение'!JP19</f>
        <v>0</v>
      </c>
      <c r="AT18" s="104">
        <f>'План и исполнение'!JU19+'План и исполнение'!KE19</f>
        <v>0</v>
      </c>
      <c r="AU18" s="103">
        <f>'План и исполнение'!KJ19+'План и исполнение'!JZ19</f>
        <v>0</v>
      </c>
      <c r="AV18" s="103">
        <f>'План и исполнение'!JS19+'План и исполнение'!KC19</f>
        <v>22680000</v>
      </c>
      <c r="AW18" s="101">
        <f>'План и исполнение'!KH19+'План и исполнение'!JX19</f>
        <v>2787904.13</v>
      </c>
      <c r="AX18" s="104">
        <f>'План и исполнение'!LG19</f>
        <v>0</v>
      </c>
      <c r="AY18" s="103">
        <f>'План и исполнение'!LM19</f>
        <v>0</v>
      </c>
      <c r="AZ18" s="103">
        <f>'План и исполнение'!LI19</f>
        <v>0</v>
      </c>
      <c r="BA18" s="101">
        <f>'План и исполнение'!LO19</f>
        <v>0</v>
      </c>
      <c r="BB18" s="104">
        <f>'План и исполнение'!LU19</f>
        <v>0</v>
      </c>
      <c r="BC18" s="101">
        <f>'План и исполнение'!LZ19</f>
        <v>0</v>
      </c>
      <c r="BD18" s="103">
        <f>'План и исполнение'!MD19</f>
        <v>0</v>
      </c>
      <c r="BE18" s="101">
        <f>'План и исполнение'!MH19</f>
        <v>0</v>
      </c>
      <c r="BF18" s="104">
        <f>'План и исполнение'!MO19+'План и исполнение'!MW19</f>
        <v>16530000</v>
      </c>
      <c r="BG18" s="101">
        <f>'План и исполнение'!MS19+'План и исполнение'!NA19</f>
        <v>714500.01</v>
      </c>
      <c r="BH18" s="103">
        <f>'План и исполнение'!OA19</f>
        <v>0</v>
      </c>
      <c r="BI18" s="101">
        <f>'План и исполнение'!OH19</f>
        <v>0</v>
      </c>
      <c r="BJ18" s="103">
        <f>'План и исполнение'!OC19</f>
        <v>3840393.83</v>
      </c>
      <c r="BK18" s="101">
        <f>'План и исполнение'!OJ19</f>
        <v>0</v>
      </c>
      <c r="BL18" s="103">
        <f>'План и исполнение'!OE19+'План и исполнение'!NU19</f>
        <v>0</v>
      </c>
      <c r="BM18" s="101">
        <f>'План и исполнение'!OL19+'План и исполнение'!NX19</f>
        <v>0</v>
      </c>
      <c r="BN18" s="100">
        <f>'План и исполнение'!PQ19</f>
        <v>0</v>
      </c>
      <c r="BO18" s="101">
        <f>'План и исполнение'!PT19</f>
        <v>0</v>
      </c>
      <c r="BP18" s="103">
        <f>'План и исполнение'!PW19+'План и исполнение'!QC19</f>
        <v>0</v>
      </c>
      <c r="BQ18" s="103">
        <f>'План и исполнение'!PZ19+'План и исполнение'!QF19</f>
        <v>0</v>
      </c>
      <c r="BR18" s="103">
        <f t="shared" si="5"/>
        <v>5204467</v>
      </c>
      <c r="BS18" s="101">
        <f t="shared" si="6"/>
        <v>3123649.25</v>
      </c>
      <c r="BT18" s="104">
        <f>'План и исполнение'!RM19</f>
        <v>1736800</v>
      </c>
      <c r="BU18" s="101">
        <f>'План и исполнение'!RN19</f>
        <v>799242.07</v>
      </c>
      <c r="BV18" s="100">
        <f>'План и исполнение'!RO19</f>
        <v>3200</v>
      </c>
      <c r="BW18" s="100">
        <f>'План и исполнение'!RP19</f>
        <v>3200</v>
      </c>
      <c r="BX18" s="279">
        <f>'План и исполнение'!RQ19</f>
        <v>0</v>
      </c>
      <c r="BY18" s="168">
        <f>'План и исполнение'!RR19</f>
        <v>0</v>
      </c>
      <c r="BZ18" s="170">
        <f>'План и исполнение'!RS19</f>
        <v>714467</v>
      </c>
      <c r="CA18" s="168">
        <f>'План и исполнение'!RT19</f>
        <v>674244</v>
      </c>
      <c r="CB18" s="170">
        <f>'План и исполнение'!RU19</f>
        <v>0</v>
      </c>
      <c r="CC18" s="168">
        <f>'План и исполнение'!RV19</f>
        <v>0</v>
      </c>
      <c r="CD18" s="103">
        <f>'План и исполнение'!RW19</f>
        <v>0</v>
      </c>
      <c r="CE18" s="101">
        <f>'План и исполнение'!RX19</f>
        <v>0</v>
      </c>
      <c r="CF18" s="103">
        <f>'План и исполнение'!SB19</f>
        <v>2750000</v>
      </c>
      <c r="CG18" s="103">
        <f>'План и исполнение'!SF19</f>
        <v>1646963.18</v>
      </c>
      <c r="CH18" s="103">
        <f>'План и исполнение'!SA19</f>
        <v>0</v>
      </c>
      <c r="CI18" s="101">
        <f>'План и исполнение'!SE19</f>
        <v>0</v>
      </c>
      <c r="CJ18" s="104">
        <f t="shared" si="7"/>
        <v>0</v>
      </c>
      <c r="CK18" s="101">
        <f t="shared" si="8"/>
        <v>0</v>
      </c>
      <c r="CL18" s="104">
        <f>'План и исполнение'!VC19</f>
        <v>0</v>
      </c>
      <c r="CM18" s="103">
        <f>'План и исполнение'!VG19</f>
        <v>0</v>
      </c>
      <c r="CN18" s="103">
        <f>'План и исполнение'!SK19</f>
        <v>0</v>
      </c>
      <c r="CO18" s="101">
        <f>'План и исполнение'!SN19</f>
        <v>0</v>
      </c>
      <c r="CP18" s="104">
        <f>'План и исполнение'!SP19+'План и исполнение'!ST19</f>
        <v>0</v>
      </c>
      <c r="CQ18" s="101">
        <f>'План и исполнение'!SR19+'План и исполнение'!SV19</f>
        <v>0</v>
      </c>
      <c r="CR18" s="104">
        <f>'План и исполнение'!TB19+'План и исполнение'!TF19</f>
        <v>0</v>
      </c>
      <c r="CS18" s="103">
        <f>'План и исполнение'!TD19+'План и исполнение'!TH19</f>
        <v>0</v>
      </c>
      <c r="CT18" s="103">
        <f>'План и исполнение'!TN19+'План и исполнение'!TR19</f>
        <v>0</v>
      </c>
      <c r="CU18" s="103">
        <f>'План и исполнение'!TP19+'План и исполнение'!TT19</f>
        <v>0</v>
      </c>
      <c r="CV18" s="103">
        <f>'План и исполнение'!UG19+'План и исполнение'!UA19</f>
        <v>0</v>
      </c>
      <c r="CW18" s="101">
        <f>'План и исполнение'!UJ19+'План и исполнение'!UD19</f>
        <v>0</v>
      </c>
      <c r="CX18" s="104">
        <f>'План и исполнение'!UQ19</f>
        <v>0</v>
      </c>
      <c r="CY18" s="103">
        <f>'План и исполнение'!UT19</f>
        <v>0</v>
      </c>
      <c r="CZ18" s="103">
        <f>'План и исполнение'!UW19</f>
        <v>0</v>
      </c>
      <c r="DA18" s="101">
        <f>'План и исполнение'!UZ19</f>
        <v>0</v>
      </c>
      <c r="DC18" s="1018">
        <f t="shared" si="9"/>
        <v>3467.6669999999999</v>
      </c>
      <c r="DD18" s="1018">
        <f t="shared" si="10"/>
        <v>2324.4071800000002</v>
      </c>
      <c r="DG18" s="1410">
        <f t="shared" si="4"/>
        <v>-48191379.82</v>
      </c>
    </row>
    <row r="19" spans="1:111" ht="25.5" customHeight="1" x14ac:dyDescent="0.3">
      <c r="A19" s="105" t="s">
        <v>87</v>
      </c>
      <c r="B19" s="103">
        <f t="shared" si="0"/>
        <v>151712557.33999997</v>
      </c>
      <c r="C19" s="103">
        <f t="shared" si="1"/>
        <v>17091142.739999998</v>
      </c>
      <c r="D19" s="277">
        <f t="shared" si="2"/>
        <v>148742557.33999997</v>
      </c>
      <c r="E19" s="277">
        <f t="shared" si="3"/>
        <v>15638268.08</v>
      </c>
      <c r="F19" s="103">
        <f>'План и исполнение'!CN20</f>
        <v>0</v>
      </c>
      <c r="G19" s="101">
        <f>'План и исполнение'!CP20</f>
        <v>0</v>
      </c>
      <c r="H19" s="100">
        <f>'План и исполнение'!CQ20+'План и исполнение'!CS20</f>
        <v>0</v>
      </c>
      <c r="I19" s="103">
        <f>'План и исполнение'!CR20+'План и исполнение'!CT20</f>
        <v>0</v>
      </c>
      <c r="J19" s="103">
        <f>'План и исполнение'!DI20</f>
        <v>0</v>
      </c>
      <c r="K19" s="101">
        <f>'План и исполнение'!DL20</f>
        <v>0</v>
      </c>
      <c r="L19" s="104">
        <f>'План и исполнение'!DP20</f>
        <v>0</v>
      </c>
      <c r="M19" s="101">
        <f>'План и исполнение'!DX20</f>
        <v>0</v>
      </c>
      <c r="N19" s="104">
        <f>'План и исполнение'!DR20</f>
        <v>0</v>
      </c>
      <c r="O19" s="103">
        <f>'План и исполнение'!DZ20</f>
        <v>0</v>
      </c>
      <c r="P19" s="101">
        <f>'План и исполнение'!EE20</f>
        <v>0</v>
      </c>
      <c r="Q19" s="103">
        <f>'План и исполнение'!EH20</f>
        <v>0</v>
      </c>
      <c r="R19" s="103">
        <f>'План и исполнение'!EK20</f>
        <v>0</v>
      </c>
      <c r="S19" s="103">
        <f>'План и исполнение'!EP20</f>
        <v>0</v>
      </c>
      <c r="T19" s="103">
        <f>'План и исполнение'!EM20</f>
        <v>0</v>
      </c>
      <c r="U19" s="101">
        <f>'План и исполнение'!ER20</f>
        <v>0</v>
      </c>
      <c r="V19" s="103">
        <f>'План и исполнение'!EU20</f>
        <v>0</v>
      </c>
      <c r="W19" s="101">
        <f>'План и исполнение'!EX20</f>
        <v>0</v>
      </c>
      <c r="X19" s="104">
        <f>'План и исполнение'!FA20</f>
        <v>141345300</v>
      </c>
      <c r="Y19" s="101">
        <f>'План и исполнение'!FD20</f>
        <v>15502652.77</v>
      </c>
      <c r="Z19" s="104">
        <f>'План и исполнение'!FG20</f>
        <v>0</v>
      </c>
      <c r="AA19" s="103">
        <f>'План и исполнение'!FJ20</f>
        <v>0</v>
      </c>
      <c r="AB19" s="103">
        <f>'План и исполнение'!FM20+'План и исполнение'!FS20</f>
        <v>0</v>
      </c>
      <c r="AC19" s="103">
        <f>'План и исполнение'!FP20+'План и исполнение'!FV20</f>
        <v>0</v>
      </c>
      <c r="AD19" s="103">
        <f>'План и исполнение'!GC20</f>
        <v>0</v>
      </c>
      <c r="AE19" s="101">
        <f>'План и исполнение'!GF20</f>
        <v>0</v>
      </c>
      <c r="AF19" s="104">
        <f>'План и исполнение'!GK20+'План и исполнение'!GU20</f>
        <v>1139644.7000000002</v>
      </c>
      <c r="AG19" s="103">
        <f>'План и исполнение'!GP20+'План и исполнение'!GZ20</f>
        <v>0</v>
      </c>
      <c r="AH19" s="103">
        <f>'План и исполнение'!GI20+'План и исполнение'!GS20</f>
        <v>0</v>
      </c>
      <c r="AI19" s="103">
        <f>'План и исполнение'!GX20+'План и исполнение'!GN20</f>
        <v>0</v>
      </c>
      <c r="AJ19" s="103">
        <f>'План и исполнение'!HW20</f>
        <v>0</v>
      </c>
      <c r="AK19" s="103">
        <f>'План и исполнение'!HZ20</f>
        <v>0</v>
      </c>
      <c r="AL19" s="103">
        <f>'План и исполнение'!IC20</f>
        <v>0</v>
      </c>
      <c r="AM19" s="101">
        <f>'План и исполнение'!IF20</f>
        <v>0</v>
      </c>
      <c r="AN19" s="104">
        <f>'План и исполнение'!II20</f>
        <v>0</v>
      </c>
      <c r="AO19" s="101">
        <f>'План и исполнение'!IL20</f>
        <v>0</v>
      </c>
      <c r="AP19" s="104">
        <f>'План и исполнение'!IO20+'План и исполнение'!IU20</f>
        <v>909097.93</v>
      </c>
      <c r="AQ19" s="103">
        <f>'План и исполнение'!IR20+'План и исполнение'!IX20</f>
        <v>0</v>
      </c>
      <c r="AR19" s="103">
        <f>'План и исполнение'!JM20</f>
        <v>0</v>
      </c>
      <c r="AS19" s="101">
        <f>'План и исполнение'!JP20</f>
        <v>0</v>
      </c>
      <c r="AT19" s="104">
        <f>'План и исполнение'!JU20+'План и исполнение'!KE20</f>
        <v>81144.58</v>
      </c>
      <c r="AU19" s="103">
        <f>'План и исполнение'!KJ20+'План и исполнение'!JZ20</f>
        <v>0</v>
      </c>
      <c r="AV19" s="103">
        <f>'План и исполнение'!JS20+'План и исполнение'!KC20</f>
        <v>0</v>
      </c>
      <c r="AW19" s="101">
        <f>'План и исполнение'!KH20+'План и исполнение'!JX20</f>
        <v>0</v>
      </c>
      <c r="AX19" s="104">
        <f>'План и исполнение'!LG20</f>
        <v>0</v>
      </c>
      <c r="AY19" s="103">
        <f>'План и исполнение'!LM20</f>
        <v>0</v>
      </c>
      <c r="AZ19" s="103">
        <f>'План и исполнение'!LI20</f>
        <v>0</v>
      </c>
      <c r="BA19" s="101">
        <f>'План и исполнение'!LO20</f>
        <v>0</v>
      </c>
      <c r="BB19" s="104">
        <f>'План и исполнение'!LU20</f>
        <v>0</v>
      </c>
      <c r="BC19" s="101">
        <f>'План и исполнение'!LZ20</f>
        <v>0</v>
      </c>
      <c r="BD19" s="103">
        <f>'План и исполнение'!MD20</f>
        <v>0</v>
      </c>
      <c r="BE19" s="101">
        <f>'План и исполнение'!MH20</f>
        <v>0</v>
      </c>
      <c r="BF19" s="104">
        <f>'План и исполнение'!MO20+'План и исполнение'!MW20</f>
        <v>0</v>
      </c>
      <c r="BG19" s="101">
        <f>'План и исполнение'!MS20+'План и исполнение'!NA20</f>
        <v>0</v>
      </c>
      <c r="BH19" s="103">
        <f>'План и исполнение'!OA20</f>
        <v>0</v>
      </c>
      <c r="BI19" s="101">
        <f>'План и исполнение'!OH20</f>
        <v>0</v>
      </c>
      <c r="BJ19" s="103">
        <f>'План и исполнение'!OC20</f>
        <v>1559770.13</v>
      </c>
      <c r="BK19" s="101">
        <f>'План и исполнение'!OJ20</f>
        <v>135615.31</v>
      </c>
      <c r="BL19" s="103">
        <f>'План и исполнение'!OE20+'План и исполнение'!NU20</f>
        <v>0</v>
      </c>
      <c r="BM19" s="101">
        <f>'План и исполнение'!OL20+'План и исполнение'!NX20</f>
        <v>0</v>
      </c>
      <c r="BN19" s="100">
        <f>'План и исполнение'!PQ20</f>
        <v>0</v>
      </c>
      <c r="BO19" s="101">
        <f>'План и исполнение'!PT20</f>
        <v>0</v>
      </c>
      <c r="BP19" s="103">
        <f>'План и исполнение'!PW20+'План и исполнение'!QC20</f>
        <v>3707600</v>
      </c>
      <c r="BQ19" s="103">
        <f>'План и исполнение'!PZ20+'План и исполнение'!QF20</f>
        <v>0</v>
      </c>
      <c r="BR19" s="103">
        <f t="shared" si="5"/>
        <v>2970000</v>
      </c>
      <c r="BS19" s="101">
        <f t="shared" si="6"/>
        <v>1452874.66</v>
      </c>
      <c r="BT19" s="104">
        <f>'План и исполнение'!RM20</f>
        <v>1218000</v>
      </c>
      <c r="BU19" s="101">
        <f>'План и исполнение'!RN20</f>
        <v>501554.2</v>
      </c>
      <c r="BV19" s="100">
        <f>'План и исполнение'!RO20</f>
        <v>2000</v>
      </c>
      <c r="BW19" s="100">
        <f>'План и исполнение'!RP20</f>
        <v>0</v>
      </c>
      <c r="BX19" s="279">
        <f>'План и исполнение'!RQ20</f>
        <v>0</v>
      </c>
      <c r="BY19" s="168">
        <f>'План и исполнение'!RR20</f>
        <v>0</v>
      </c>
      <c r="BZ19" s="170">
        <f>'План и исполнение'!RS20</f>
        <v>0</v>
      </c>
      <c r="CA19" s="168">
        <f>'План и исполнение'!RT20</f>
        <v>0</v>
      </c>
      <c r="CB19" s="170">
        <f>'План и исполнение'!RU20</f>
        <v>0</v>
      </c>
      <c r="CC19" s="168">
        <f>'План и исполнение'!RV20</f>
        <v>0</v>
      </c>
      <c r="CD19" s="103">
        <f>'План и исполнение'!RW20</f>
        <v>0</v>
      </c>
      <c r="CE19" s="101">
        <f>'План и исполнение'!RX20</f>
        <v>0</v>
      </c>
      <c r="CF19" s="103">
        <f>'План и исполнение'!SB20</f>
        <v>1750000</v>
      </c>
      <c r="CG19" s="103">
        <f>'План и исполнение'!SF20</f>
        <v>951320.46</v>
      </c>
      <c r="CH19" s="103">
        <f>'План и исполнение'!SA20</f>
        <v>0</v>
      </c>
      <c r="CI19" s="101">
        <f>'План и исполнение'!SE20</f>
        <v>0</v>
      </c>
      <c r="CJ19" s="104">
        <f t="shared" si="7"/>
        <v>0</v>
      </c>
      <c r="CK19" s="101">
        <f t="shared" si="8"/>
        <v>0</v>
      </c>
      <c r="CL19" s="104">
        <f>'План и исполнение'!VC20</f>
        <v>0</v>
      </c>
      <c r="CM19" s="103">
        <f>'План и исполнение'!VG20</f>
        <v>0</v>
      </c>
      <c r="CN19" s="103">
        <f>'План и исполнение'!SK20</f>
        <v>0</v>
      </c>
      <c r="CO19" s="101">
        <f>'План и исполнение'!SN20</f>
        <v>0</v>
      </c>
      <c r="CP19" s="104">
        <f>'План и исполнение'!SP20+'План и исполнение'!ST20</f>
        <v>0</v>
      </c>
      <c r="CQ19" s="101">
        <f>'План и исполнение'!SR20+'План и исполнение'!SV20</f>
        <v>0</v>
      </c>
      <c r="CR19" s="104">
        <f>'План и исполнение'!TB20+'План и исполнение'!TF20</f>
        <v>0</v>
      </c>
      <c r="CS19" s="103">
        <f>'План и исполнение'!TD20+'План и исполнение'!TH20</f>
        <v>0</v>
      </c>
      <c r="CT19" s="103">
        <f>'План и исполнение'!TN20+'План и исполнение'!TR20</f>
        <v>0</v>
      </c>
      <c r="CU19" s="103">
        <f>'План и исполнение'!TP20+'План и исполнение'!TT20</f>
        <v>0</v>
      </c>
      <c r="CV19" s="103">
        <f>'План и исполнение'!UG20+'План и исполнение'!UA20</f>
        <v>0</v>
      </c>
      <c r="CW19" s="101">
        <f>'План и исполнение'!UJ20+'План и исполнение'!UD20</f>
        <v>0</v>
      </c>
      <c r="CX19" s="104">
        <f>'План и исполнение'!UQ20</f>
        <v>0</v>
      </c>
      <c r="CY19" s="103">
        <f>'План и исполнение'!UT20</f>
        <v>0</v>
      </c>
      <c r="CZ19" s="103">
        <f>'План и исполнение'!UW20</f>
        <v>0</v>
      </c>
      <c r="DA19" s="101">
        <f>'План и исполнение'!UZ20</f>
        <v>0</v>
      </c>
      <c r="DC19" s="1018">
        <f t="shared" si="9"/>
        <v>1752</v>
      </c>
      <c r="DD19" s="1018">
        <f t="shared" si="10"/>
        <v>951.32045999999991</v>
      </c>
      <c r="DG19" s="1410">
        <f t="shared" si="4"/>
        <v>-148742557.33999997</v>
      </c>
    </row>
    <row r="20" spans="1:111" ht="25.5" customHeight="1" x14ac:dyDescent="0.3">
      <c r="A20" s="102" t="s">
        <v>88</v>
      </c>
      <c r="B20" s="103">
        <f t="shared" si="0"/>
        <v>6494913.2599999998</v>
      </c>
      <c r="C20" s="103">
        <f t="shared" si="1"/>
        <v>1722210</v>
      </c>
      <c r="D20" s="277">
        <f t="shared" si="2"/>
        <v>4341213.26</v>
      </c>
      <c r="E20" s="277">
        <f t="shared" si="3"/>
        <v>620073.27</v>
      </c>
      <c r="F20" s="103">
        <f>'План и исполнение'!CN21</f>
        <v>0</v>
      </c>
      <c r="G20" s="101">
        <f>'План и исполнение'!CP21</f>
        <v>0</v>
      </c>
      <c r="H20" s="100">
        <f>'План и исполнение'!CQ21+'План и исполнение'!CS21</f>
        <v>0</v>
      </c>
      <c r="I20" s="103">
        <f>'План и исполнение'!CR21+'План и исполнение'!CT21</f>
        <v>0</v>
      </c>
      <c r="J20" s="103">
        <f>'План и исполнение'!DI21</f>
        <v>0</v>
      </c>
      <c r="K20" s="101">
        <f>'План и исполнение'!DL21</f>
        <v>0</v>
      </c>
      <c r="L20" s="104">
        <f>'План и исполнение'!DP21</f>
        <v>0</v>
      </c>
      <c r="M20" s="101">
        <f>'План и исполнение'!DX21</f>
        <v>0</v>
      </c>
      <c r="N20" s="104">
        <f>'План и исполнение'!DR21</f>
        <v>0</v>
      </c>
      <c r="O20" s="103">
        <f>'План и исполнение'!DZ21</f>
        <v>0</v>
      </c>
      <c r="P20" s="101">
        <f>'План и исполнение'!EE21</f>
        <v>0</v>
      </c>
      <c r="Q20" s="103">
        <f>'План и исполнение'!EH21</f>
        <v>0</v>
      </c>
      <c r="R20" s="103">
        <f>'План и исполнение'!EK21</f>
        <v>0</v>
      </c>
      <c r="S20" s="103">
        <f>'План и исполнение'!EP21</f>
        <v>0</v>
      </c>
      <c r="T20" s="103">
        <f>'План и исполнение'!EM21</f>
        <v>0</v>
      </c>
      <c r="U20" s="101">
        <f>'План и исполнение'!ER21</f>
        <v>0</v>
      </c>
      <c r="V20" s="103">
        <f>'План и исполнение'!EU21</f>
        <v>0</v>
      </c>
      <c r="W20" s="101">
        <f>'План и исполнение'!EX21</f>
        <v>0</v>
      </c>
      <c r="X20" s="104">
        <f>'План и исполнение'!FA21</f>
        <v>0</v>
      </c>
      <c r="Y20" s="101">
        <f>'План и исполнение'!FD21</f>
        <v>0</v>
      </c>
      <c r="Z20" s="104">
        <f>'План и исполнение'!FG21</f>
        <v>0</v>
      </c>
      <c r="AA20" s="103">
        <f>'План и исполнение'!FJ21</f>
        <v>0</v>
      </c>
      <c r="AB20" s="103">
        <f>'План и исполнение'!FM21+'План и исполнение'!FS21</f>
        <v>0</v>
      </c>
      <c r="AC20" s="103">
        <f>'План и исполнение'!FP21+'План и исполнение'!FV21</f>
        <v>0</v>
      </c>
      <c r="AD20" s="103">
        <f>'План и исполнение'!GC21</f>
        <v>0</v>
      </c>
      <c r="AE20" s="101">
        <f>'План и исполнение'!GF21</f>
        <v>0</v>
      </c>
      <c r="AF20" s="104">
        <f>'План и исполнение'!GK21+'План и исполнение'!GU21</f>
        <v>0</v>
      </c>
      <c r="AG20" s="103">
        <f>'План и исполнение'!GP21+'План и исполнение'!GZ21</f>
        <v>0</v>
      </c>
      <c r="AH20" s="103">
        <f>'План и исполнение'!GI21+'План и исполнение'!GS21</f>
        <v>0</v>
      </c>
      <c r="AI20" s="103">
        <f>'План и исполнение'!GX21+'План и исполнение'!GN21</f>
        <v>0</v>
      </c>
      <c r="AJ20" s="103">
        <f>'План и исполнение'!HW21</f>
        <v>0</v>
      </c>
      <c r="AK20" s="103">
        <f>'План и исполнение'!HZ21</f>
        <v>0</v>
      </c>
      <c r="AL20" s="103">
        <f>'План и исполнение'!IC21</f>
        <v>0</v>
      </c>
      <c r="AM20" s="101">
        <f>'План и исполнение'!IF21</f>
        <v>0</v>
      </c>
      <c r="AN20" s="104">
        <f>'План и исполнение'!II21</f>
        <v>0</v>
      </c>
      <c r="AO20" s="101">
        <f>'План и исполнение'!IL21</f>
        <v>0</v>
      </c>
      <c r="AP20" s="104">
        <f>'План и исполнение'!IO21+'План и исполнение'!IU21</f>
        <v>643948.99</v>
      </c>
      <c r="AQ20" s="103">
        <f>'План и исполнение'!IR21+'План и исполнение'!IX21</f>
        <v>620073.27</v>
      </c>
      <c r="AR20" s="103">
        <f>'План и исполнение'!JM21</f>
        <v>0</v>
      </c>
      <c r="AS20" s="101">
        <f>'План и исполнение'!JP21</f>
        <v>0</v>
      </c>
      <c r="AT20" s="104">
        <f>'План и исполнение'!JU21+'План и исполнение'!KE21</f>
        <v>0</v>
      </c>
      <c r="AU20" s="103">
        <f>'План и исполнение'!KJ21+'План и исполнение'!JZ21</f>
        <v>0</v>
      </c>
      <c r="AV20" s="103">
        <f>'План и исполнение'!JS21+'План и исполнение'!KC21</f>
        <v>0</v>
      </c>
      <c r="AW20" s="101">
        <f>'План и исполнение'!KH21+'План и исполнение'!JX21</f>
        <v>0</v>
      </c>
      <c r="AX20" s="104">
        <f>'План и исполнение'!LG21</f>
        <v>0</v>
      </c>
      <c r="AY20" s="103">
        <f>'План и исполнение'!LM21</f>
        <v>0</v>
      </c>
      <c r="AZ20" s="103">
        <f>'План и исполнение'!LI21</f>
        <v>0</v>
      </c>
      <c r="BA20" s="101">
        <f>'План и исполнение'!LO21</f>
        <v>0</v>
      </c>
      <c r="BB20" s="104">
        <f>'План и исполнение'!LU21</f>
        <v>0</v>
      </c>
      <c r="BC20" s="101">
        <f>'План и исполнение'!LZ21</f>
        <v>0</v>
      </c>
      <c r="BD20" s="103">
        <f>'План и исполнение'!MD21</f>
        <v>0</v>
      </c>
      <c r="BE20" s="101">
        <f>'План и исполнение'!MH21</f>
        <v>0</v>
      </c>
      <c r="BF20" s="104">
        <f>'План и исполнение'!MO21+'План и исполнение'!MW21</f>
        <v>0</v>
      </c>
      <c r="BG20" s="101">
        <f>'План и исполнение'!MS21+'План и исполнение'!NA21</f>
        <v>0</v>
      </c>
      <c r="BH20" s="103">
        <f>'План и исполнение'!OA21</f>
        <v>0</v>
      </c>
      <c r="BI20" s="101">
        <f>'План и исполнение'!OH21</f>
        <v>0</v>
      </c>
      <c r="BJ20" s="103">
        <f>'План и исполнение'!OC21</f>
        <v>3697264.27</v>
      </c>
      <c r="BK20" s="101">
        <f>'План и исполнение'!OJ21</f>
        <v>0</v>
      </c>
      <c r="BL20" s="103">
        <f>'План и исполнение'!OE21+'План и исполнение'!NU21</f>
        <v>0</v>
      </c>
      <c r="BM20" s="101">
        <f>'План и исполнение'!OL21+'План и исполнение'!NX21</f>
        <v>0</v>
      </c>
      <c r="BN20" s="100">
        <f>'План и исполнение'!PQ21</f>
        <v>0</v>
      </c>
      <c r="BO20" s="101">
        <f>'План и исполнение'!PT21</f>
        <v>0</v>
      </c>
      <c r="BP20" s="103">
        <f>'План и исполнение'!PW21+'План и исполнение'!QC21</f>
        <v>0</v>
      </c>
      <c r="BQ20" s="103">
        <f>'План и исполнение'!PZ21+'План и исполнение'!QF21</f>
        <v>0</v>
      </c>
      <c r="BR20" s="103">
        <f t="shared" si="5"/>
        <v>2153700</v>
      </c>
      <c r="BS20" s="101">
        <f t="shared" si="6"/>
        <v>1102136.73</v>
      </c>
      <c r="BT20" s="104">
        <f>'План и исполнение'!RM21</f>
        <v>673700</v>
      </c>
      <c r="BU20" s="101">
        <f>'План и исполнение'!RN21</f>
        <v>305883.59000000003</v>
      </c>
      <c r="BV20" s="100">
        <f>'План и исполнение'!RO21</f>
        <v>0</v>
      </c>
      <c r="BW20" s="100">
        <f>'План и исполнение'!RP21</f>
        <v>0</v>
      </c>
      <c r="BX20" s="279">
        <f>'План и исполнение'!RQ21</f>
        <v>0</v>
      </c>
      <c r="BY20" s="168">
        <f>'План и исполнение'!RR21</f>
        <v>0</v>
      </c>
      <c r="BZ20" s="170">
        <f>'План и исполнение'!RS21</f>
        <v>0</v>
      </c>
      <c r="CA20" s="168">
        <f>'План и исполнение'!RT21</f>
        <v>0</v>
      </c>
      <c r="CB20" s="170">
        <f>'План и исполнение'!RU21</f>
        <v>0</v>
      </c>
      <c r="CC20" s="168">
        <f>'План и исполнение'!RV21</f>
        <v>0</v>
      </c>
      <c r="CD20" s="103">
        <f>'План и исполнение'!RW21</f>
        <v>0</v>
      </c>
      <c r="CE20" s="101">
        <f>'План и исполнение'!RX21</f>
        <v>0</v>
      </c>
      <c r="CF20" s="103">
        <f>'План и исполнение'!SB21</f>
        <v>1480000</v>
      </c>
      <c r="CG20" s="103">
        <f>'План и исполнение'!SF21</f>
        <v>796253.14</v>
      </c>
      <c r="CH20" s="103">
        <f>'План и исполнение'!SA21</f>
        <v>0</v>
      </c>
      <c r="CI20" s="101">
        <f>'План и исполнение'!SE21</f>
        <v>0</v>
      </c>
      <c r="CJ20" s="104">
        <f t="shared" si="7"/>
        <v>0</v>
      </c>
      <c r="CK20" s="101">
        <f t="shared" si="8"/>
        <v>0</v>
      </c>
      <c r="CL20" s="104">
        <f>'План и исполнение'!VC21</f>
        <v>0</v>
      </c>
      <c r="CM20" s="103">
        <f>'План и исполнение'!VG21</f>
        <v>0</v>
      </c>
      <c r="CN20" s="103">
        <f>'План и исполнение'!SK21</f>
        <v>0</v>
      </c>
      <c r="CO20" s="101">
        <f>'План и исполнение'!SN21</f>
        <v>0</v>
      </c>
      <c r="CP20" s="104">
        <f>'План и исполнение'!SP21+'План и исполнение'!ST21</f>
        <v>0</v>
      </c>
      <c r="CQ20" s="101">
        <f>'План и исполнение'!SR21+'План и исполнение'!SV21</f>
        <v>0</v>
      </c>
      <c r="CR20" s="104">
        <f>'План и исполнение'!TB21+'План и исполнение'!TF21</f>
        <v>0</v>
      </c>
      <c r="CS20" s="103">
        <f>'План и исполнение'!TD21+'План и исполнение'!TH21</f>
        <v>0</v>
      </c>
      <c r="CT20" s="103">
        <f>'План и исполнение'!TN21+'План и исполнение'!TR21</f>
        <v>0</v>
      </c>
      <c r="CU20" s="103">
        <f>'План и исполнение'!TP21+'План и исполнение'!TT21</f>
        <v>0</v>
      </c>
      <c r="CV20" s="103">
        <f>'План и исполнение'!UG21+'План и исполнение'!UA21</f>
        <v>0</v>
      </c>
      <c r="CW20" s="101">
        <f>'План и исполнение'!UJ21+'План и исполнение'!UD21</f>
        <v>0</v>
      </c>
      <c r="CX20" s="104">
        <f>'План и исполнение'!UQ21</f>
        <v>0</v>
      </c>
      <c r="CY20" s="103">
        <f>'План и исполнение'!UT21</f>
        <v>0</v>
      </c>
      <c r="CZ20" s="103">
        <f>'План и исполнение'!UW21</f>
        <v>0</v>
      </c>
      <c r="DA20" s="101">
        <f>'План и исполнение'!UZ21</f>
        <v>0</v>
      </c>
      <c r="DC20" s="1018">
        <f t="shared" si="9"/>
        <v>1480</v>
      </c>
      <c r="DD20" s="1018">
        <f t="shared" si="10"/>
        <v>796.25313999999992</v>
      </c>
      <c r="DG20" s="1410">
        <f t="shared" si="4"/>
        <v>-4341213.26</v>
      </c>
    </row>
    <row r="21" spans="1:111" ht="25.5" customHeight="1" x14ac:dyDescent="0.3">
      <c r="A21" s="105" t="s">
        <v>89</v>
      </c>
      <c r="B21" s="103">
        <f t="shared" si="0"/>
        <v>109322934.62</v>
      </c>
      <c r="C21" s="103">
        <f t="shared" si="1"/>
        <v>19653032.879999999</v>
      </c>
      <c r="D21" s="277">
        <f t="shared" si="2"/>
        <v>103903967.62</v>
      </c>
      <c r="E21" s="277">
        <f t="shared" si="3"/>
        <v>16454272.1</v>
      </c>
      <c r="F21" s="103">
        <f>'План и исполнение'!CN22</f>
        <v>0</v>
      </c>
      <c r="G21" s="101">
        <f>'План и исполнение'!CP22</f>
        <v>0</v>
      </c>
      <c r="H21" s="100">
        <f>'План и исполнение'!CQ22+'План и исполнение'!CS22</f>
        <v>35464825.579999998</v>
      </c>
      <c r="I21" s="103">
        <f>'План и исполнение'!CR22+'План и исполнение'!CT22</f>
        <v>10639447.67</v>
      </c>
      <c r="J21" s="103">
        <f>'План и исполнение'!DI22</f>
        <v>0</v>
      </c>
      <c r="K21" s="101">
        <f>'План и исполнение'!DL22</f>
        <v>0</v>
      </c>
      <c r="L21" s="104">
        <f>'План и исполнение'!DP22</f>
        <v>2664000</v>
      </c>
      <c r="M21" s="101">
        <f>'План и исполнение'!DX22</f>
        <v>0</v>
      </c>
      <c r="N21" s="104">
        <f>'План и исполнение'!DR22</f>
        <v>0</v>
      </c>
      <c r="O21" s="103">
        <f>'План и исполнение'!DZ22</f>
        <v>0</v>
      </c>
      <c r="P21" s="101">
        <f>'План и исполнение'!EE22</f>
        <v>2383000</v>
      </c>
      <c r="Q21" s="103">
        <f>'План и исполнение'!EH22</f>
        <v>0</v>
      </c>
      <c r="R21" s="103">
        <f>'План и исполнение'!EK22</f>
        <v>0</v>
      </c>
      <c r="S21" s="103">
        <f>'План и исполнение'!EP22</f>
        <v>0</v>
      </c>
      <c r="T21" s="103">
        <f>'План и исполнение'!EM22</f>
        <v>40000000</v>
      </c>
      <c r="U21" s="101">
        <f>'План и исполнение'!ER22</f>
        <v>0</v>
      </c>
      <c r="V21" s="103">
        <f>'План и исполнение'!EU22</f>
        <v>0</v>
      </c>
      <c r="W21" s="101">
        <f>'План и исполнение'!EX22</f>
        <v>0</v>
      </c>
      <c r="X21" s="104">
        <f>'План и исполнение'!FA22</f>
        <v>0</v>
      </c>
      <c r="Y21" s="101">
        <f>'План и исполнение'!FD22</f>
        <v>0</v>
      </c>
      <c r="Z21" s="104">
        <f>'План и исполнение'!FG22</f>
        <v>0</v>
      </c>
      <c r="AA21" s="103">
        <f>'План и исполнение'!FJ22</f>
        <v>0</v>
      </c>
      <c r="AB21" s="103">
        <f>'План и исполнение'!FM22+'План и исполнение'!FS22</f>
        <v>0</v>
      </c>
      <c r="AC21" s="103">
        <f>'План и исполнение'!FP22+'План и исполнение'!FV22</f>
        <v>0</v>
      </c>
      <c r="AD21" s="103">
        <f>'План и исполнение'!GC22</f>
        <v>0</v>
      </c>
      <c r="AE21" s="101">
        <f>'План и исполнение'!GF22</f>
        <v>0</v>
      </c>
      <c r="AF21" s="104">
        <f>'План и исполнение'!GK22+'План и исполнение'!GU22</f>
        <v>0</v>
      </c>
      <c r="AG21" s="103">
        <f>'План и исполнение'!GP22+'План и исполнение'!GZ22</f>
        <v>0</v>
      </c>
      <c r="AH21" s="103">
        <f>'План и исполнение'!GI22+'План и исполнение'!GS22</f>
        <v>0</v>
      </c>
      <c r="AI21" s="103">
        <f>'План и исполнение'!GX22+'План и исполнение'!GN22</f>
        <v>0</v>
      </c>
      <c r="AJ21" s="103">
        <f>'План и исполнение'!HW22</f>
        <v>0</v>
      </c>
      <c r="AK21" s="103">
        <f>'План и исполнение'!HZ22</f>
        <v>0</v>
      </c>
      <c r="AL21" s="103">
        <f>'План и исполнение'!IC22</f>
        <v>0</v>
      </c>
      <c r="AM21" s="101">
        <f>'План и исполнение'!IF22</f>
        <v>0</v>
      </c>
      <c r="AN21" s="104">
        <f>'План и исполнение'!II22</f>
        <v>0</v>
      </c>
      <c r="AO21" s="101">
        <f>'План и исполнение'!IL22</f>
        <v>0</v>
      </c>
      <c r="AP21" s="104">
        <f>'План и исполнение'!IO22+'План и исполнение'!IU22</f>
        <v>2796717.7600000002</v>
      </c>
      <c r="AQ21" s="103">
        <f>'План и исполнение'!IR22+'План и исполнение'!IX22</f>
        <v>1662589.78</v>
      </c>
      <c r="AR21" s="103">
        <f>'План и исполнение'!JM22</f>
        <v>0</v>
      </c>
      <c r="AS21" s="101">
        <f>'План и исполнение'!JP22</f>
        <v>0</v>
      </c>
      <c r="AT21" s="104">
        <f>'План и исполнение'!JU22+'План и исполнение'!KE22</f>
        <v>0</v>
      </c>
      <c r="AU21" s="103">
        <f>'План и исполнение'!KJ22+'План и исполнение'!JZ22</f>
        <v>0</v>
      </c>
      <c r="AV21" s="103">
        <f>'План и исполнение'!JS22+'План и исполнение'!KC22</f>
        <v>0</v>
      </c>
      <c r="AW21" s="101">
        <f>'План и исполнение'!KH22+'План и исполнение'!JX22</f>
        <v>0</v>
      </c>
      <c r="AX21" s="104">
        <f>'План и исполнение'!LG22</f>
        <v>0</v>
      </c>
      <c r="AY21" s="103">
        <f>'План и исполнение'!LM22</f>
        <v>0</v>
      </c>
      <c r="AZ21" s="103">
        <f>'План и исполнение'!LI22</f>
        <v>0</v>
      </c>
      <c r="BA21" s="101">
        <f>'План и исполнение'!LO22</f>
        <v>0</v>
      </c>
      <c r="BB21" s="104">
        <f>'План и исполнение'!LU22</f>
        <v>0</v>
      </c>
      <c r="BC21" s="101">
        <f>'План и исполнение'!LZ22</f>
        <v>0</v>
      </c>
      <c r="BD21" s="103">
        <f>'План и исполнение'!MD22</f>
        <v>0</v>
      </c>
      <c r="BE21" s="101">
        <f>'План и исполнение'!MH22</f>
        <v>0</v>
      </c>
      <c r="BF21" s="104">
        <f>'План и исполнение'!MO22+'План и исполнение'!MW22</f>
        <v>16530000</v>
      </c>
      <c r="BG21" s="101">
        <f>'План и исполнение'!MS22+'План и исполнение'!NA22</f>
        <v>1606339.43</v>
      </c>
      <c r="BH21" s="103">
        <f>'План и исполнение'!OA22</f>
        <v>0</v>
      </c>
      <c r="BI21" s="101">
        <f>'План и исполнение'!OH22</f>
        <v>0</v>
      </c>
      <c r="BJ21" s="103">
        <f>'План и исполнение'!OC22</f>
        <v>4065424.2800000003</v>
      </c>
      <c r="BK21" s="101">
        <f>'План и исполнение'!OJ22</f>
        <v>2545895.2200000002</v>
      </c>
      <c r="BL21" s="103">
        <f>'План и исполнение'!OE22+'План и исполнение'!NU22</f>
        <v>0</v>
      </c>
      <c r="BM21" s="101">
        <f>'План и исполнение'!OL22+'План и исполнение'!NX22</f>
        <v>0</v>
      </c>
      <c r="BN21" s="100">
        <f>'План и исполнение'!PQ22</f>
        <v>0</v>
      </c>
      <c r="BO21" s="101">
        <f>'План и исполнение'!PT22</f>
        <v>0</v>
      </c>
      <c r="BP21" s="103">
        <f>'План и исполнение'!PW22+'План и исполнение'!QC22</f>
        <v>0</v>
      </c>
      <c r="BQ21" s="103">
        <f>'План и исполнение'!PZ22+'План и исполнение'!QF22</f>
        <v>0</v>
      </c>
      <c r="BR21" s="103">
        <f t="shared" si="5"/>
        <v>5418967</v>
      </c>
      <c r="BS21" s="101">
        <f t="shared" si="6"/>
        <v>3198760.7800000003</v>
      </c>
      <c r="BT21" s="104">
        <f>'План и исполнение'!RM22</f>
        <v>1800500</v>
      </c>
      <c r="BU21" s="101">
        <f>'План и исполнение'!RN22</f>
        <v>729159.75</v>
      </c>
      <c r="BV21" s="100">
        <f>'План и исполнение'!RO22</f>
        <v>4000</v>
      </c>
      <c r="BW21" s="100">
        <f>'План и исполнение'!RP22</f>
        <v>1984</v>
      </c>
      <c r="BX21" s="279">
        <f>'План и исполнение'!RQ22</f>
        <v>0</v>
      </c>
      <c r="BY21" s="168">
        <f>'План и исполнение'!RR22</f>
        <v>0</v>
      </c>
      <c r="BZ21" s="170">
        <f>'План и исполнение'!RS22</f>
        <v>714467</v>
      </c>
      <c r="CA21" s="168">
        <f>'План и исполнение'!RT22</f>
        <v>674244</v>
      </c>
      <c r="CB21" s="170">
        <f>'План и исполнение'!RU22</f>
        <v>0</v>
      </c>
      <c r="CC21" s="168">
        <f>'План и исполнение'!RV22</f>
        <v>0</v>
      </c>
      <c r="CD21" s="103">
        <f>'План и исполнение'!RW22</f>
        <v>0</v>
      </c>
      <c r="CE21" s="101">
        <f>'План и исполнение'!RX22</f>
        <v>0</v>
      </c>
      <c r="CF21" s="103">
        <f>'План и исполнение'!SB22</f>
        <v>2900000</v>
      </c>
      <c r="CG21" s="103">
        <f>'План и исполнение'!SF22</f>
        <v>1793373.03</v>
      </c>
      <c r="CH21" s="103">
        <f>'План и исполнение'!SA22</f>
        <v>0</v>
      </c>
      <c r="CI21" s="101">
        <f>'План и исполнение'!SE22</f>
        <v>0</v>
      </c>
      <c r="CJ21" s="104">
        <f t="shared" si="7"/>
        <v>0</v>
      </c>
      <c r="CK21" s="101">
        <f t="shared" si="8"/>
        <v>0</v>
      </c>
      <c r="CL21" s="104">
        <f>'План и исполнение'!VC22</f>
        <v>0</v>
      </c>
      <c r="CM21" s="103">
        <f>'План и исполнение'!VG22</f>
        <v>0</v>
      </c>
      <c r="CN21" s="103">
        <f>'План и исполнение'!SK22</f>
        <v>0</v>
      </c>
      <c r="CO21" s="101">
        <f>'План и исполнение'!SN22</f>
        <v>0</v>
      </c>
      <c r="CP21" s="104">
        <f>'План и исполнение'!SP22+'План и исполнение'!ST22</f>
        <v>0</v>
      </c>
      <c r="CQ21" s="101">
        <f>'План и исполнение'!SR22+'План и исполнение'!SV22</f>
        <v>0</v>
      </c>
      <c r="CR21" s="104">
        <f>'План и исполнение'!TB22+'План и исполнение'!TF22</f>
        <v>0</v>
      </c>
      <c r="CS21" s="103">
        <f>'План и исполнение'!TD22+'План и исполнение'!TH22</f>
        <v>0</v>
      </c>
      <c r="CT21" s="103">
        <f>'План и исполнение'!TN22+'План и исполнение'!TR22</f>
        <v>0</v>
      </c>
      <c r="CU21" s="103">
        <f>'План и исполнение'!TP22+'План и исполнение'!TT22</f>
        <v>0</v>
      </c>
      <c r="CV21" s="103">
        <f>'План и исполнение'!UG22+'План и исполнение'!UA22</f>
        <v>0</v>
      </c>
      <c r="CW21" s="101">
        <f>'План и исполнение'!UJ22+'План и исполнение'!UD22</f>
        <v>0</v>
      </c>
      <c r="CX21" s="104">
        <f>'План и исполнение'!UQ22</f>
        <v>0</v>
      </c>
      <c r="CY21" s="103">
        <f>'План и исполнение'!UT22</f>
        <v>0</v>
      </c>
      <c r="CZ21" s="103">
        <f>'План и исполнение'!UW22</f>
        <v>0</v>
      </c>
      <c r="DA21" s="101">
        <f>'План и исполнение'!UZ22</f>
        <v>0</v>
      </c>
      <c r="DC21" s="1018">
        <f t="shared" si="9"/>
        <v>3618.4670000000001</v>
      </c>
      <c r="DD21" s="1018">
        <f t="shared" si="10"/>
        <v>2469.6010300000003</v>
      </c>
      <c r="DG21" s="1410">
        <f t="shared" si="4"/>
        <v>-103903967.62</v>
      </c>
    </row>
    <row r="22" spans="1:111" ht="25.5" customHeight="1" x14ac:dyDescent="0.3">
      <c r="A22" s="102" t="s">
        <v>90</v>
      </c>
      <c r="B22" s="103">
        <f t="shared" si="0"/>
        <v>8533827.3900000006</v>
      </c>
      <c r="C22" s="103">
        <f t="shared" si="1"/>
        <v>1662614.61</v>
      </c>
      <c r="D22" s="277">
        <f t="shared" si="2"/>
        <v>6004927.3900000006</v>
      </c>
      <c r="E22" s="277">
        <f t="shared" si="3"/>
        <v>513590.01</v>
      </c>
      <c r="F22" s="103">
        <f>'План и исполнение'!CN23</f>
        <v>0</v>
      </c>
      <c r="G22" s="101">
        <f>'План и исполнение'!CP23</f>
        <v>0</v>
      </c>
      <c r="H22" s="100">
        <f>'План и исполнение'!CQ23+'План и исполнение'!CS23</f>
        <v>0</v>
      </c>
      <c r="I22" s="103">
        <f>'План и исполнение'!CR23+'План и исполнение'!CT23</f>
        <v>0</v>
      </c>
      <c r="J22" s="103">
        <f>'План и исполнение'!DI23</f>
        <v>0</v>
      </c>
      <c r="K22" s="101">
        <f>'План и исполнение'!DL23</f>
        <v>0</v>
      </c>
      <c r="L22" s="104">
        <f>'План и исполнение'!DP23</f>
        <v>0</v>
      </c>
      <c r="M22" s="101">
        <f>'План и исполнение'!DX23</f>
        <v>0</v>
      </c>
      <c r="N22" s="104">
        <f>'План и исполнение'!DR23</f>
        <v>0</v>
      </c>
      <c r="O22" s="103">
        <f>'План и исполнение'!DZ23</f>
        <v>0</v>
      </c>
      <c r="P22" s="101">
        <f>'План и исполнение'!EE23</f>
        <v>0</v>
      </c>
      <c r="Q22" s="103">
        <f>'План и исполнение'!EH23</f>
        <v>0</v>
      </c>
      <c r="R22" s="103">
        <f>'План и исполнение'!EK23</f>
        <v>0</v>
      </c>
      <c r="S22" s="103">
        <f>'План и исполнение'!EP23</f>
        <v>0</v>
      </c>
      <c r="T22" s="103">
        <f>'План и исполнение'!EM23</f>
        <v>0</v>
      </c>
      <c r="U22" s="101">
        <f>'План и исполнение'!ER23</f>
        <v>0</v>
      </c>
      <c r="V22" s="103">
        <f>'План и исполнение'!EU23</f>
        <v>0</v>
      </c>
      <c r="W22" s="101">
        <f>'План и исполнение'!EX23</f>
        <v>0</v>
      </c>
      <c r="X22" s="104">
        <f>'План и исполнение'!FA23</f>
        <v>0</v>
      </c>
      <c r="Y22" s="101">
        <f>'План и исполнение'!FD23</f>
        <v>0</v>
      </c>
      <c r="Z22" s="104">
        <f>'План и исполнение'!FG23</f>
        <v>0</v>
      </c>
      <c r="AA22" s="103">
        <f>'План и исполнение'!FJ23</f>
        <v>0</v>
      </c>
      <c r="AB22" s="103">
        <f>'План и исполнение'!FM23+'План и исполнение'!FS23</f>
        <v>0</v>
      </c>
      <c r="AC22" s="103">
        <f>'План и исполнение'!FP23+'План и исполнение'!FV23</f>
        <v>0</v>
      </c>
      <c r="AD22" s="103">
        <f>'План и исполнение'!GC23</f>
        <v>0</v>
      </c>
      <c r="AE22" s="101">
        <f>'План и исполнение'!GF23</f>
        <v>0</v>
      </c>
      <c r="AF22" s="104">
        <f>'План и исполнение'!GK23+'План и исполнение'!GU23</f>
        <v>21807.27</v>
      </c>
      <c r="AG22" s="103">
        <f>'План и исполнение'!GP23+'План и исполнение'!GZ23</f>
        <v>21807.27</v>
      </c>
      <c r="AH22" s="103">
        <f>'План и исполнение'!GI23+'План и исполнение'!GS23</f>
        <v>0</v>
      </c>
      <c r="AI22" s="103">
        <f>'План и исполнение'!GX23+'План и исполнение'!GN23</f>
        <v>0</v>
      </c>
      <c r="AJ22" s="103">
        <f>'План и исполнение'!HW23</f>
        <v>0</v>
      </c>
      <c r="AK22" s="103">
        <f>'План и исполнение'!HZ23</f>
        <v>0</v>
      </c>
      <c r="AL22" s="103">
        <f>'План и исполнение'!IC23</f>
        <v>0</v>
      </c>
      <c r="AM22" s="101">
        <f>'План и исполнение'!IF23</f>
        <v>0</v>
      </c>
      <c r="AN22" s="104">
        <f>'План и исполнение'!II23</f>
        <v>0</v>
      </c>
      <c r="AO22" s="101">
        <f>'План и исполнение'!IL23</f>
        <v>0</v>
      </c>
      <c r="AP22" s="104">
        <f>'План и исполнение'!IO23+'План и исполнение'!IU23</f>
        <v>737035.82000000007</v>
      </c>
      <c r="AQ22" s="103">
        <f>'План и исполнение'!IR23+'План и исполнение'!IX23</f>
        <v>491782.74</v>
      </c>
      <c r="AR22" s="103">
        <f>'План и исполнение'!JM23</f>
        <v>0</v>
      </c>
      <c r="AS22" s="101">
        <f>'План и исполнение'!JP23</f>
        <v>0</v>
      </c>
      <c r="AT22" s="104">
        <f>'План и исполнение'!JU23+'План и исполнение'!KE23</f>
        <v>113066.24000000001</v>
      </c>
      <c r="AU22" s="103">
        <f>'План и исполнение'!KJ23+'План и исполнение'!JZ23</f>
        <v>0</v>
      </c>
      <c r="AV22" s="103">
        <f>'План и исполнение'!JS23+'План и исполнение'!KC23</f>
        <v>0</v>
      </c>
      <c r="AW22" s="101">
        <f>'План и исполнение'!KH23+'План и исполнение'!JX23</f>
        <v>0</v>
      </c>
      <c r="AX22" s="104">
        <f>'План и исполнение'!LG23</f>
        <v>0</v>
      </c>
      <c r="AY22" s="103">
        <f>'План и исполнение'!LM23</f>
        <v>0</v>
      </c>
      <c r="AZ22" s="103">
        <f>'План и исполнение'!LI23</f>
        <v>0</v>
      </c>
      <c r="BA22" s="101">
        <f>'План и исполнение'!LO23</f>
        <v>0</v>
      </c>
      <c r="BB22" s="104">
        <f>'План и исполнение'!LU23</f>
        <v>0</v>
      </c>
      <c r="BC22" s="101">
        <f>'План и исполнение'!LZ23</f>
        <v>0</v>
      </c>
      <c r="BD22" s="103">
        <f>'План и исполнение'!MD23</f>
        <v>0</v>
      </c>
      <c r="BE22" s="101">
        <f>'План и исполнение'!MH23</f>
        <v>0</v>
      </c>
      <c r="BF22" s="104">
        <f>'План и исполнение'!MO23+'План и исполнение'!MW23</f>
        <v>0</v>
      </c>
      <c r="BG22" s="101">
        <f>'План и исполнение'!MS23+'План и исполнение'!NA23</f>
        <v>0</v>
      </c>
      <c r="BH22" s="103">
        <f>'План и исполнение'!OA23</f>
        <v>0</v>
      </c>
      <c r="BI22" s="101">
        <f>'План и исполнение'!OH23</f>
        <v>0</v>
      </c>
      <c r="BJ22" s="103">
        <f>'План и исполнение'!OC23</f>
        <v>5133018.0600000005</v>
      </c>
      <c r="BK22" s="101">
        <f>'План и исполнение'!OJ23</f>
        <v>0</v>
      </c>
      <c r="BL22" s="103">
        <f>'План и исполнение'!OE23+'План и исполнение'!NU23</f>
        <v>0</v>
      </c>
      <c r="BM22" s="101">
        <f>'План и исполнение'!OL23+'План и исполнение'!NX23</f>
        <v>0</v>
      </c>
      <c r="BN22" s="100">
        <f>'План и исполнение'!PQ23</f>
        <v>0</v>
      </c>
      <c r="BO22" s="101">
        <f>'План и исполнение'!PT23</f>
        <v>0</v>
      </c>
      <c r="BP22" s="103">
        <f>'План и исполнение'!PW23+'План и исполнение'!QC23</f>
        <v>0</v>
      </c>
      <c r="BQ22" s="103">
        <f>'План и исполнение'!PZ23+'План и исполнение'!QF23</f>
        <v>0</v>
      </c>
      <c r="BR22" s="103">
        <f t="shared" si="5"/>
        <v>2528900</v>
      </c>
      <c r="BS22" s="101">
        <f t="shared" si="6"/>
        <v>1149024.6000000001</v>
      </c>
      <c r="BT22" s="104">
        <f>'План и исполнение'!RM23</f>
        <v>1168900</v>
      </c>
      <c r="BU22" s="101">
        <f>'План и исполнение'!RN23</f>
        <v>447939.11</v>
      </c>
      <c r="BV22" s="100">
        <f>'План и исполнение'!RO23</f>
        <v>0</v>
      </c>
      <c r="BW22" s="100">
        <f>'План и исполнение'!RP23</f>
        <v>0</v>
      </c>
      <c r="BX22" s="279">
        <f>'План и исполнение'!RQ23</f>
        <v>0</v>
      </c>
      <c r="BY22" s="168">
        <f>'План и исполнение'!RR23</f>
        <v>0</v>
      </c>
      <c r="BZ22" s="170">
        <f>'План и исполнение'!RS23</f>
        <v>0</v>
      </c>
      <c r="CA22" s="168">
        <f>'План и исполнение'!RT23</f>
        <v>0</v>
      </c>
      <c r="CB22" s="170">
        <f>'План и исполнение'!RU23</f>
        <v>0</v>
      </c>
      <c r="CC22" s="168">
        <f>'План и исполнение'!RV23</f>
        <v>0</v>
      </c>
      <c r="CD22" s="103">
        <f>'План и исполнение'!RW23</f>
        <v>0</v>
      </c>
      <c r="CE22" s="101">
        <f>'План и исполнение'!RX23</f>
        <v>0</v>
      </c>
      <c r="CF22" s="103">
        <f>'План и исполнение'!SB23</f>
        <v>1360000</v>
      </c>
      <c r="CG22" s="103">
        <f>'План и исполнение'!SF23</f>
        <v>701085.49</v>
      </c>
      <c r="CH22" s="103">
        <f>'План и исполнение'!SA23</f>
        <v>0</v>
      </c>
      <c r="CI22" s="101">
        <f>'План и исполнение'!SE23</f>
        <v>0</v>
      </c>
      <c r="CJ22" s="104">
        <f t="shared" si="7"/>
        <v>0</v>
      </c>
      <c r="CK22" s="101">
        <f t="shared" si="8"/>
        <v>0</v>
      </c>
      <c r="CL22" s="104">
        <f>'План и исполнение'!VC23</f>
        <v>0</v>
      </c>
      <c r="CM22" s="103">
        <f>'План и исполнение'!VG23</f>
        <v>0</v>
      </c>
      <c r="CN22" s="103">
        <f>'План и исполнение'!SK23</f>
        <v>0</v>
      </c>
      <c r="CO22" s="101">
        <f>'План и исполнение'!SN23</f>
        <v>0</v>
      </c>
      <c r="CP22" s="104">
        <f>'План и исполнение'!SP23+'План и исполнение'!ST23</f>
        <v>0</v>
      </c>
      <c r="CQ22" s="101">
        <f>'План и исполнение'!SR23+'План и исполнение'!SV23</f>
        <v>0</v>
      </c>
      <c r="CR22" s="104">
        <f>'План и исполнение'!TB23+'План и исполнение'!TF23</f>
        <v>0</v>
      </c>
      <c r="CS22" s="103">
        <f>'План и исполнение'!TD23+'План и исполнение'!TH23</f>
        <v>0</v>
      </c>
      <c r="CT22" s="103">
        <f>'План и исполнение'!TN23+'План и исполнение'!TR23</f>
        <v>0</v>
      </c>
      <c r="CU22" s="103">
        <f>'План и исполнение'!TP23+'План и исполнение'!TT23</f>
        <v>0</v>
      </c>
      <c r="CV22" s="103">
        <f>'План и исполнение'!UG23+'План и исполнение'!UA23</f>
        <v>0</v>
      </c>
      <c r="CW22" s="101">
        <f>'План и исполнение'!UJ23+'План и исполнение'!UD23</f>
        <v>0</v>
      </c>
      <c r="CX22" s="104">
        <f>'План и исполнение'!UQ23</f>
        <v>0</v>
      </c>
      <c r="CY22" s="103">
        <f>'План и исполнение'!UT23</f>
        <v>0</v>
      </c>
      <c r="CZ22" s="103">
        <f>'План и исполнение'!UW23</f>
        <v>0</v>
      </c>
      <c r="DA22" s="101">
        <f>'План и исполнение'!UZ23</f>
        <v>0</v>
      </c>
      <c r="DC22" s="1018">
        <f t="shared" si="9"/>
        <v>1360</v>
      </c>
      <c r="DD22" s="1018">
        <f t="shared" si="10"/>
        <v>701.08549000000016</v>
      </c>
      <c r="DG22" s="1410">
        <f t="shared" si="4"/>
        <v>-6004927.3900000006</v>
      </c>
    </row>
    <row r="23" spans="1:111" ht="25.5" customHeight="1" x14ac:dyDescent="0.3">
      <c r="A23" s="105" t="s">
        <v>91</v>
      </c>
      <c r="B23" s="103">
        <f t="shared" si="0"/>
        <v>11861666.6</v>
      </c>
      <c r="C23" s="103">
        <f t="shared" si="1"/>
        <v>2879911.56</v>
      </c>
      <c r="D23" s="277">
        <f t="shared" si="2"/>
        <v>6936766.5999999996</v>
      </c>
      <c r="E23" s="277">
        <f t="shared" si="3"/>
        <v>422969.77</v>
      </c>
      <c r="F23" s="103">
        <f>'План и исполнение'!CN24</f>
        <v>0</v>
      </c>
      <c r="G23" s="101">
        <f>'План и исполнение'!CP24</f>
        <v>0</v>
      </c>
      <c r="H23" s="100">
        <f>'План и исполнение'!CQ24+'План и исполнение'!CS24</f>
        <v>0</v>
      </c>
      <c r="I23" s="103">
        <f>'План и исполнение'!CR24+'План и исполнение'!CT24</f>
        <v>0</v>
      </c>
      <c r="J23" s="103">
        <f>'План и исполнение'!DI24</f>
        <v>0</v>
      </c>
      <c r="K23" s="101">
        <f>'План и исполнение'!DL24</f>
        <v>0</v>
      </c>
      <c r="L23" s="104">
        <f>'План и исполнение'!DP24</f>
        <v>0</v>
      </c>
      <c r="M23" s="101">
        <f>'План и исполнение'!DX24</f>
        <v>0</v>
      </c>
      <c r="N23" s="104">
        <f>'План и исполнение'!DR24</f>
        <v>0</v>
      </c>
      <c r="O23" s="103">
        <f>'План и исполнение'!DZ24</f>
        <v>0</v>
      </c>
      <c r="P23" s="101">
        <f>'План и исполнение'!EE24</f>
        <v>2383000</v>
      </c>
      <c r="Q23" s="103">
        <f>'План и исполнение'!EH24</f>
        <v>0</v>
      </c>
      <c r="R23" s="103">
        <f>'План и исполнение'!EK24</f>
        <v>0</v>
      </c>
      <c r="S23" s="103">
        <f>'План и исполнение'!EP24</f>
        <v>0</v>
      </c>
      <c r="T23" s="103">
        <f>'План и исполнение'!EM24</f>
        <v>0</v>
      </c>
      <c r="U23" s="101">
        <f>'План и исполнение'!ER24</f>
        <v>0</v>
      </c>
      <c r="V23" s="103">
        <f>'План и исполнение'!EU24</f>
        <v>0</v>
      </c>
      <c r="W23" s="101">
        <f>'План и исполнение'!EX24</f>
        <v>0</v>
      </c>
      <c r="X23" s="104">
        <f>'План и исполнение'!FA24</f>
        <v>0</v>
      </c>
      <c r="Y23" s="101">
        <f>'План и исполнение'!FD24</f>
        <v>0</v>
      </c>
      <c r="Z23" s="104">
        <f>'План и исполнение'!FG24</f>
        <v>0</v>
      </c>
      <c r="AA23" s="103">
        <f>'План и исполнение'!FJ24</f>
        <v>0</v>
      </c>
      <c r="AB23" s="103">
        <f>'План и исполнение'!FM24+'План и исполнение'!FS24</f>
        <v>0</v>
      </c>
      <c r="AC23" s="103">
        <f>'План и исполнение'!FP24+'План и исполнение'!FV24</f>
        <v>0</v>
      </c>
      <c r="AD23" s="103">
        <f>'План и исполнение'!GC24</f>
        <v>0</v>
      </c>
      <c r="AE23" s="101">
        <f>'План и исполнение'!GF24</f>
        <v>0</v>
      </c>
      <c r="AF23" s="104">
        <f>'План и исполнение'!GK24+'План и исполнение'!GU24</f>
        <v>0</v>
      </c>
      <c r="AG23" s="103">
        <f>'План и исполнение'!GP24+'План и исполнение'!GZ24</f>
        <v>0</v>
      </c>
      <c r="AH23" s="103">
        <f>'План и исполнение'!GI24+'План и исполнение'!GS24</f>
        <v>0</v>
      </c>
      <c r="AI23" s="103">
        <f>'План и исполнение'!GX24+'План и исполнение'!GN24</f>
        <v>0</v>
      </c>
      <c r="AJ23" s="103">
        <f>'План и исполнение'!HW24</f>
        <v>0</v>
      </c>
      <c r="AK23" s="103">
        <f>'План и исполнение'!HZ24</f>
        <v>0</v>
      </c>
      <c r="AL23" s="103">
        <f>'План и исполнение'!IC24</f>
        <v>0</v>
      </c>
      <c r="AM23" s="101">
        <f>'План и исполнение'!IF24</f>
        <v>0</v>
      </c>
      <c r="AN23" s="104">
        <f>'План и исполнение'!II24</f>
        <v>0</v>
      </c>
      <c r="AO23" s="101">
        <f>'План и исполнение'!IL24</f>
        <v>0</v>
      </c>
      <c r="AP23" s="104">
        <f>'План и исполнение'!IO24+'План и исполнение'!IU24</f>
        <v>422969.77</v>
      </c>
      <c r="AQ23" s="103">
        <f>'План и исполнение'!IR24+'План и исполнение'!IX24</f>
        <v>422969.77</v>
      </c>
      <c r="AR23" s="103">
        <f>'План и исполнение'!JM24</f>
        <v>0</v>
      </c>
      <c r="AS23" s="101">
        <f>'План и исполнение'!JP24</f>
        <v>0</v>
      </c>
      <c r="AT23" s="104">
        <f>'План и исполнение'!JU24+'План и исполнение'!KE24</f>
        <v>0</v>
      </c>
      <c r="AU23" s="103">
        <f>'План и исполнение'!KJ24+'План и исполнение'!JZ24</f>
        <v>0</v>
      </c>
      <c r="AV23" s="103">
        <f>'План и исполнение'!JS24+'План и исполнение'!KC24</f>
        <v>0</v>
      </c>
      <c r="AW23" s="101">
        <f>'План и исполнение'!KH24+'План и исполнение'!JX24</f>
        <v>0</v>
      </c>
      <c r="AX23" s="104">
        <f>'План и исполнение'!LG24</f>
        <v>0</v>
      </c>
      <c r="AY23" s="103">
        <f>'План и исполнение'!LM24</f>
        <v>0</v>
      </c>
      <c r="AZ23" s="103">
        <f>'План и исполнение'!LI24</f>
        <v>0</v>
      </c>
      <c r="BA23" s="101">
        <f>'План и исполнение'!LO24</f>
        <v>0</v>
      </c>
      <c r="BB23" s="104">
        <f>'План и исполнение'!LU24</f>
        <v>0</v>
      </c>
      <c r="BC23" s="101">
        <f>'План и исполнение'!LZ24</f>
        <v>0</v>
      </c>
      <c r="BD23" s="103">
        <f>'План и исполнение'!MD24</f>
        <v>0</v>
      </c>
      <c r="BE23" s="101">
        <f>'План и исполнение'!MH24</f>
        <v>0</v>
      </c>
      <c r="BF23" s="104">
        <f>'План и исполнение'!MO24+'План и исполнение'!MW24</f>
        <v>0</v>
      </c>
      <c r="BG23" s="101">
        <f>'План и исполнение'!MS24+'План и исполнение'!NA24</f>
        <v>0</v>
      </c>
      <c r="BH23" s="103">
        <f>'План и исполнение'!OA24</f>
        <v>0</v>
      </c>
      <c r="BI23" s="101">
        <f>'План и исполнение'!OH24</f>
        <v>0</v>
      </c>
      <c r="BJ23" s="103">
        <f>'План и исполнение'!OC24</f>
        <v>4130796.83</v>
      </c>
      <c r="BK23" s="101">
        <f>'План и исполнение'!OJ24</f>
        <v>0</v>
      </c>
      <c r="BL23" s="103">
        <f>'План и исполнение'!OE24+'План и исполнение'!NU24</f>
        <v>0</v>
      </c>
      <c r="BM23" s="101">
        <f>'План и исполнение'!OL24+'План и исполнение'!NX24</f>
        <v>0</v>
      </c>
      <c r="BN23" s="100">
        <f>'План и исполнение'!PQ24</f>
        <v>0</v>
      </c>
      <c r="BO23" s="101">
        <f>'План и исполнение'!PT24</f>
        <v>0</v>
      </c>
      <c r="BP23" s="103">
        <f>'План и исполнение'!PW24+'План и исполнение'!QC24</f>
        <v>0</v>
      </c>
      <c r="BQ23" s="103">
        <f>'План и исполнение'!PZ24+'План и исполнение'!QF24</f>
        <v>0</v>
      </c>
      <c r="BR23" s="103">
        <f t="shared" si="5"/>
        <v>4924900</v>
      </c>
      <c r="BS23" s="101">
        <f t="shared" si="6"/>
        <v>2456941.79</v>
      </c>
      <c r="BT23" s="104">
        <f>'План и исполнение'!RM24</f>
        <v>2949900</v>
      </c>
      <c r="BU23" s="101">
        <f>'План и исполнение'!RN24</f>
        <v>1193878.8799999999</v>
      </c>
      <c r="BV23" s="100">
        <f>'План и исполнение'!RO24</f>
        <v>7000</v>
      </c>
      <c r="BW23" s="100">
        <f>'План и исполнение'!RP24</f>
        <v>0</v>
      </c>
      <c r="BX23" s="279">
        <f>'План и исполнение'!RQ24</f>
        <v>0</v>
      </c>
      <c r="BY23" s="168">
        <f>'План и исполнение'!RR24</f>
        <v>0</v>
      </c>
      <c r="BZ23" s="170">
        <f>'План и исполнение'!RS24</f>
        <v>0</v>
      </c>
      <c r="CA23" s="168">
        <f>'План и исполнение'!RT24</f>
        <v>0</v>
      </c>
      <c r="CB23" s="170">
        <f>'План и исполнение'!RU24</f>
        <v>0</v>
      </c>
      <c r="CC23" s="168">
        <f>'План и исполнение'!RV24</f>
        <v>0</v>
      </c>
      <c r="CD23" s="103">
        <f>'План и исполнение'!RW24</f>
        <v>0</v>
      </c>
      <c r="CE23" s="101">
        <f>'План и исполнение'!RX24</f>
        <v>0</v>
      </c>
      <c r="CF23" s="103">
        <f>'План и исполнение'!SB24</f>
        <v>1968000</v>
      </c>
      <c r="CG23" s="103">
        <f>'План и исполнение'!SF24</f>
        <v>1263062.9099999999</v>
      </c>
      <c r="CH23" s="103">
        <f>'План и исполнение'!SA24</f>
        <v>0</v>
      </c>
      <c r="CI23" s="101">
        <f>'План и исполнение'!SE24</f>
        <v>0</v>
      </c>
      <c r="CJ23" s="104">
        <f t="shared" si="7"/>
        <v>0</v>
      </c>
      <c r="CK23" s="101">
        <f t="shared" si="8"/>
        <v>0</v>
      </c>
      <c r="CL23" s="104">
        <f>'План и исполнение'!VC24</f>
        <v>0</v>
      </c>
      <c r="CM23" s="103">
        <f>'План и исполнение'!VG24</f>
        <v>0</v>
      </c>
      <c r="CN23" s="103">
        <f>'План и исполнение'!SK24</f>
        <v>0</v>
      </c>
      <c r="CO23" s="101">
        <f>'План и исполнение'!SN24</f>
        <v>0</v>
      </c>
      <c r="CP23" s="104">
        <f>'План и исполнение'!SP24+'План и исполнение'!ST24</f>
        <v>0</v>
      </c>
      <c r="CQ23" s="101">
        <f>'План и исполнение'!SR24+'План и исполнение'!SV24</f>
        <v>0</v>
      </c>
      <c r="CR23" s="104">
        <f>'План и исполнение'!TB24+'План и исполнение'!TF24</f>
        <v>0</v>
      </c>
      <c r="CS23" s="103">
        <f>'План и исполнение'!TD24+'План и исполнение'!TH24</f>
        <v>0</v>
      </c>
      <c r="CT23" s="103">
        <f>'План и исполнение'!TN24+'План и исполнение'!TR24</f>
        <v>0</v>
      </c>
      <c r="CU23" s="103">
        <f>'План и исполнение'!TP24+'План и исполнение'!TT24</f>
        <v>0</v>
      </c>
      <c r="CV23" s="103">
        <f>'План и исполнение'!UG24+'План и исполнение'!UA24</f>
        <v>0</v>
      </c>
      <c r="CW23" s="101">
        <f>'План и исполнение'!UJ24+'План и исполнение'!UD24</f>
        <v>0</v>
      </c>
      <c r="CX23" s="104">
        <f>'План и исполнение'!UQ24</f>
        <v>0</v>
      </c>
      <c r="CY23" s="103">
        <f>'План и исполнение'!UT24</f>
        <v>0</v>
      </c>
      <c r="CZ23" s="103">
        <f>'План и исполнение'!UW24</f>
        <v>0</v>
      </c>
      <c r="DA23" s="101">
        <f>'План и исполнение'!UZ24</f>
        <v>0</v>
      </c>
      <c r="DC23" s="1018">
        <f t="shared" si="9"/>
        <v>1975</v>
      </c>
      <c r="DD23" s="1018">
        <f t="shared" si="10"/>
        <v>1263.0629100000001</v>
      </c>
      <c r="DG23" s="1410">
        <f t="shared" si="4"/>
        <v>-6936766.5999999996</v>
      </c>
    </row>
    <row r="24" spans="1:111" ht="25.5" customHeight="1" x14ac:dyDescent="0.3">
      <c r="A24" s="102" t="s">
        <v>92</v>
      </c>
      <c r="B24" s="103">
        <f t="shared" si="0"/>
        <v>8943936.8499999996</v>
      </c>
      <c r="C24" s="103">
        <f t="shared" si="1"/>
        <v>4147029.2</v>
      </c>
      <c r="D24" s="277">
        <f t="shared" si="2"/>
        <v>5964236.8499999996</v>
      </c>
      <c r="E24" s="277">
        <f t="shared" si="3"/>
        <v>2550550.77</v>
      </c>
      <c r="F24" s="103">
        <f>'План и исполнение'!CN25</f>
        <v>0</v>
      </c>
      <c r="G24" s="101">
        <f>'План и исполнение'!CP25</f>
        <v>0</v>
      </c>
      <c r="H24" s="100">
        <f>'План и исполнение'!CQ25+'План и исполнение'!CS25</f>
        <v>0</v>
      </c>
      <c r="I24" s="103">
        <f>'План и исполнение'!CR25+'План и исполнение'!CT25</f>
        <v>0</v>
      </c>
      <c r="J24" s="103">
        <f>'План и исполнение'!DI25</f>
        <v>0</v>
      </c>
      <c r="K24" s="101">
        <f>'План и исполнение'!DL25</f>
        <v>0</v>
      </c>
      <c r="L24" s="104">
        <f>'План и исполнение'!DP25</f>
        <v>0</v>
      </c>
      <c r="M24" s="101">
        <f>'План и исполнение'!DX25</f>
        <v>0</v>
      </c>
      <c r="N24" s="104">
        <f>'План и исполнение'!DR25</f>
        <v>0</v>
      </c>
      <c r="O24" s="103">
        <f>'План и исполнение'!DZ25</f>
        <v>0</v>
      </c>
      <c r="P24" s="101">
        <f>'План и исполнение'!EE25</f>
        <v>0</v>
      </c>
      <c r="Q24" s="103">
        <f>'План и исполнение'!EH25</f>
        <v>0</v>
      </c>
      <c r="R24" s="103">
        <f>'План и исполнение'!EK25</f>
        <v>2859675</v>
      </c>
      <c r="S24" s="103">
        <f>'План и исполнение'!EP25</f>
        <v>1868856.87</v>
      </c>
      <c r="T24" s="103">
        <f>'План и исполнение'!EM25</f>
        <v>0</v>
      </c>
      <c r="U24" s="101">
        <f>'План и исполнение'!ER25</f>
        <v>0</v>
      </c>
      <c r="V24" s="103">
        <f>'План и исполнение'!EU25</f>
        <v>0</v>
      </c>
      <c r="W24" s="101">
        <f>'План и исполнение'!EX25</f>
        <v>0</v>
      </c>
      <c r="X24" s="104">
        <f>'План и исполнение'!FA25</f>
        <v>0</v>
      </c>
      <c r="Y24" s="101">
        <f>'План и исполнение'!FD25</f>
        <v>0</v>
      </c>
      <c r="Z24" s="104">
        <f>'План и исполнение'!FG25</f>
        <v>0</v>
      </c>
      <c r="AA24" s="103">
        <f>'План и исполнение'!FJ25</f>
        <v>0</v>
      </c>
      <c r="AB24" s="103">
        <f>'План и исполнение'!FM25+'План и исполнение'!FS25</f>
        <v>0</v>
      </c>
      <c r="AC24" s="103">
        <f>'План и исполнение'!FP25+'План и исполнение'!FV25</f>
        <v>0</v>
      </c>
      <c r="AD24" s="103">
        <f>'План и исполнение'!GC25</f>
        <v>0</v>
      </c>
      <c r="AE24" s="101">
        <f>'План и исполнение'!GF25</f>
        <v>0</v>
      </c>
      <c r="AF24" s="104">
        <f>'План и исполнение'!GK25+'План и исполнение'!GU25</f>
        <v>0</v>
      </c>
      <c r="AG24" s="103">
        <f>'План и исполнение'!GP25+'План и исполнение'!GZ25</f>
        <v>0</v>
      </c>
      <c r="AH24" s="103">
        <f>'План и исполнение'!GI25+'План и исполнение'!GS25</f>
        <v>0</v>
      </c>
      <c r="AI24" s="103">
        <f>'План и исполнение'!GX25+'План и исполнение'!GN25</f>
        <v>0</v>
      </c>
      <c r="AJ24" s="103">
        <f>'План и исполнение'!HW25</f>
        <v>0</v>
      </c>
      <c r="AK24" s="103">
        <f>'План и исполнение'!HZ25</f>
        <v>0</v>
      </c>
      <c r="AL24" s="103">
        <f>'План и исполнение'!IC25</f>
        <v>0</v>
      </c>
      <c r="AM24" s="101">
        <f>'План и исполнение'!IF25</f>
        <v>0</v>
      </c>
      <c r="AN24" s="104">
        <f>'План и исполнение'!II25</f>
        <v>0</v>
      </c>
      <c r="AO24" s="101">
        <f>'План и исполнение'!IL25</f>
        <v>0</v>
      </c>
      <c r="AP24" s="104">
        <f>'План и исполнение'!IO25+'План и исполнение'!IU25</f>
        <v>707182.49</v>
      </c>
      <c r="AQ24" s="103">
        <f>'План и исполнение'!IR25+'План и исполнение'!IX25</f>
        <v>532223.12</v>
      </c>
      <c r="AR24" s="103">
        <f>'План и исполнение'!JM25</f>
        <v>0</v>
      </c>
      <c r="AS24" s="101">
        <f>'План и исполнение'!JP25</f>
        <v>0</v>
      </c>
      <c r="AT24" s="104">
        <f>'План и исполнение'!JU25+'План и исполнение'!KE25</f>
        <v>0</v>
      </c>
      <c r="AU24" s="103">
        <f>'План и исполнение'!KJ25+'План и исполнение'!JZ25</f>
        <v>0</v>
      </c>
      <c r="AV24" s="103">
        <f>'План и исполнение'!JS25+'План и исполнение'!KC25</f>
        <v>0</v>
      </c>
      <c r="AW24" s="101">
        <f>'План и исполнение'!KH25+'План и исполнение'!JX25</f>
        <v>0</v>
      </c>
      <c r="AX24" s="104">
        <f>'План и исполнение'!LG25</f>
        <v>0</v>
      </c>
      <c r="AY24" s="103">
        <f>'План и исполнение'!LM25</f>
        <v>0</v>
      </c>
      <c r="AZ24" s="103">
        <f>'План и исполнение'!LI25</f>
        <v>0</v>
      </c>
      <c r="BA24" s="101">
        <f>'План и исполнение'!LO25</f>
        <v>0</v>
      </c>
      <c r="BB24" s="104">
        <f>'План и исполнение'!LU25</f>
        <v>0</v>
      </c>
      <c r="BC24" s="101">
        <f>'План и исполнение'!LZ25</f>
        <v>0</v>
      </c>
      <c r="BD24" s="103">
        <f>'План и исполнение'!MD25</f>
        <v>0</v>
      </c>
      <c r="BE24" s="101">
        <f>'План и исполнение'!MH25</f>
        <v>0</v>
      </c>
      <c r="BF24" s="104">
        <f>'План и исполнение'!MO25+'План и исполнение'!MW25</f>
        <v>0</v>
      </c>
      <c r="BG24" s="101">
        <f>'План и исполнение'!MS25+'План и исполнение'!NA25</f>
        <v>0</v>
      </c>
      <c r="BH24" s="103">
        <f>'План и исполнение'!OA25</f>
        <v>0</v>
      </c>
      <c r="BI24" s="101">
        <f>'План и исполнение'!OH25</f>
        <v>0</v>
      </c>
      <c r="BJ24" s="103">
        <f>'План и исполнение'!OC25</f>
        <v>2397379.36</v>
      </c>
      <c r="BK24" s="101">
        <f>'План и исполнение'!OJ25</f>
        <v>149470.78</v>
      </c>
      <c r="BL24" s="103">
        <f>'План и исполнение'!OE25+'План и исполнение'!NU25</f>
        <v>0</v>
      </c>
      <c r="BM24" s="101">
        <f>'План и исполнение'!OL25+'План и исполнение'!NX25</f>
        <v>0</v>
      </c>
      <c r="BN24" s="100">
        <f>'План и исполнение'!PQ25</f>
        <v>0</v>
      </c>
      <c r="BO24" s="101">
        <f>'План и исполнение'!PT25</f>
        <v>0</v>
      </c>
      <c r="BP24" s="103">
        <f>'План и исполнение'!PW25+'План и исполнение'!QC25</f>
        <v>0</v>
      </c>
      <c r="BQ24" s="103">
        <f>'План и исполнение'!PZ25+'План и исполнение'!QF25</f>
        <v>0</v>
      </c>
      <c r="BR24" s="103">
        <f t="shared" si="5"/>
        <v>2979700</v>
      </c>
      <c r="BS24" s="101">
        <f t="shared" si="6"/>
        <v>1596478.4300000002</v>
      </c>
      <c r="BT24" s="104">
        <f>'План и исполнение'!RM25</f>
        <v>1379700</v>
      </c>
      <c r="BU24" s="101">
        <f>'План и исполнение'!RN25</f>
        <v>674490.31</v>
      </c>
      <c r="BV24" s="100">
        <f>'План и исполнение'!RO25</f>
        <v>0</v>
      </c>
      <c r="BW24" s="100">
        <f>'План и исполнение'!RP25</f>
        <v>0</v>
      </c>
      <c r="BX24" s="279">
        <f>'План и исполнение'!RQ25</f>
        <v>0</v>
      </c>
      <c r="BY24" s="168">
        <f>'План и исполнение'!RR25</f>
        <v>0</v>
      </c>
      <c r="BZ24" s="170">
        <f>'План и исполнение'!RS25</f>
        <v>0</v>
      </c>
      <c r="CA24" s="168">
        <f>'План и исполнение'!RT25</f>
        <v>0</v>
      </c>
      <c r="CB24" s="170">
        <f>'План и исполнение'!RU25</f>
        <v>0</v>
      </c>
      <c r="CC24" s="168">
        <f>'План и исполнение'!RV25</f>
        <v>0</v>
      </c>
      <c r="CD24" s="103">
        <f>'План и исполнение'!RW25</f>
        <v>0</v>
      </c>
      <c r="CE24" s="101">
        <f>'План и исполнение'!RX25</f>
        <v>0</v>
      </c>
      <c r="CF24" s="103">
        <f>'План и исполнение'!SB25</f>
        <v>1600000</v>
      </c>
      <c r="CG24" s="103">
        <f>'План и исполнение'!SF25</f>
        <v>921988.12</v>
      </c>
      <c r="CH24" s="103">
        <f>'План и исполнение'!SA25</f>
        <v>0</v>
      </c>
      <c r="CI24" s="101">
        <f>'План и исполнение'!SE25</f>
        <v>0</v>
      </c>
      <c r="CJ24" s="104">
        <f t="shared" si="7"/>
        <v>0</v>
      </c>
      <c r="CK24" s="101">
        <f t="shared" si="8"/>
        <v>0</v>
      </c>
      <c r="CL24" s="104">
        <f>'План и исполнение'!VC25</f>
        <v>0</v>
      </c>
      <c r="CM24" s="103">
        <f>'План и исполнение'!VG25</f>
        <v>0</v>
      </c>
      <c r="CN24" s="103">
        <f>'План и исполнение'!SK25</f>
        <v>0</v>
      </c>
      <c r="CO24" s="101">
        <f>'План и исполнение'!SN25</f>
        <v>0</v>
      </c>
      <c r="CP24" s="104">
        <f>'План и исполнение'!SP25+'План и исполнение'!ST25</f>
        <v>0</v>
      </c>
      <c r="CQ24" s="101">
        <f>'План и исполнение'!SR25+'План и исполнение'!SV25</f>
        <v>0</v>
      </c>
      <c r="CR24" s="104">
        <f>'План и исполнение'!TB25+'План и исполнение'!TF25</f>
        <v>0</v>
      </c>
      <c r="CS24" s="103">
        <f>'План и исполнение'!TD25+'План и исполнение'!TH25</f>
        <v>0</v>
      </c>
      <c r="CT24" s="103">
        <f>'План и исполнение'!TN25+'План и исполнение'!TR25</f>
        <v>0</v>
      </c>
      <c r="CU24" s="103">
        <f>'План и исполнение'!TP25+'План и исполнение'!TT25</f>
        <v>0</v>
      </c>
      <c r="CV24" s="103">
        <f>'План и исполнение'!UG25+'План и исполнение'!UA25</f>
        <v>0</v>
      </c>
      <c r="CW24" s="101">
        <f>'План и исполнение'!UJ25+'План и исполнение'!UD25</f>
        <v>0</v>
      </c>
      <c r="CX24" s="104">
        <f>'План и исполнение'!UQ25</f>
        <v>0</v>
      </c>
      <c r="CY24" s="103">
        <f>'План и исполнение'!UT25</f>
        <v>0</v>
      </c>
      <c r="CZ24" s="103">
        <f>'План и исполнение'!UW25</f>
        <v>0</v>
      </c>
      <c r="DA24" s="101">
        <f>'План и исполнение'!UZ25</f>
        <v>0</v>
      </c>
      <c r="DC24" s="1018">
        <f t="shared" si="9"/>
        <v>1600</v>
      </c>
      <c r="DD24" s="1018">
        <f t="shared" si="10"/>
        <v>921.98812000000009</v>
      </c>
      <c r="DG24" s="1410">
        <f t="shared" si="4"/>
        <v>-5964236.8499999996</v>
      </c>
    </row>
    <row r="25" spans="1:111" ht="25.5" customHeight="1" x14ac:dyDescent="0.3">
      <c r="A25" s="105" t="s">
        <v>93</v>
      </c>
      <c r="B25" s="103">
        <f t="shared" si="0"/>
        <v>159972479.02000001</v>
      </c>
      <c r="C25" s="103">
        <f t="shared" si="1"/>
        <v>12801415.98</v>
      </c>
      <c r="D25" s="277">
        <f t="shared" si="2"/>
        <v>157060979.02000001</v>
      </c>
      <c r="E25" s="277">
        <f t="shared" si="3"/>
        <v>11200917.91</v>
      </c>
      <c r="F25" s="103">
        <f>'План и исполнение'!CN26</f>
        <v>0</v>
      </c>
      <c r="G25" s="101">
        <f>'План и исполнение'!CP26</f>
        <v>0</v>
      </c>
      <c r="H25" s="100">
        <f>'План и исполнение'!CQ26+'План и исполнение'!CS26</f>
        <v>0</v>
      </c>
      <c r="I25" s="103">
        <f>'План и исполнение'!CR26+'План и исполнение'!CT26</f>
        <v>0</v>
      </c>
      <c r="J25" s="103">
        <f>'План и исполнение'!DI26</f>
        <v>0</v>
      </c>
      <c r="K25" s="101">
        <f>'План и исполнение'!DL26</f>
        <v>0</v>
      </c>
      <c r="L25" s="104">
        <f>'План и исполнение'!DP26</f>
        <v>0</v>
      </c>
      <c r="M25" s="101">
        <f>'План и исполнение'!DX26</f>
        <v>0</v>
      </c>
      <c r="N25" s="104">
        <f>'План и исполнение'!DR26</f>
        <v>0</v>
      </c>
      <c r="O25" s="103">
        <f>'План и исполнение'!DZ26</f>
        <v>0</v>
      </c>
      <c r="P25" s="101">
        <f>'План и исполнение'!EE26</f>
        <v>0</v>
      </c>
      <c r="Q25" s="103">
        <f>'План и исполнение'!EH26</f>
        <v>0</v>
      </c>
      <c r="R25" s="103">
        <f>'План и исполнение'!EK26</f>
        <v>0</v>
      </c>
      <c r="S25" s="103">
        <f>'План и исполнение'!EP26</f>
        <v>0</v>
      </c>
      <c r="T25" s="103">
        <f>'План и исполнение'!EM26</f>
        <v>0</v>
      </c>
      <c r="U25" s="101">
        <f>'План и исполнение'!ER26</f>
        <v>0</v>
      </c>
      <c r="V25" s="103">
        <f>'План и исполнение'!EU26</f>
        <v>0</v>
      </c>
      <c r="W25" s="101">
        <f>'План и исполнение'!EX26</f>
        <v>0</v>
      </c>
      <c r="X25" s="104">
        <f>'План и исполнение'!FA26</f>
        <v>0</v>
      </c>
      <c r="Y25" s="101">
        <f>'План и исполнение'!FD26</f>
        <v>0</v>
      </c>
      <c r="Z25" s="104">
        <f>'План и исполнение'!FG26</f>
        <v>0</v>
      </c>
      <c r="AA25" s="103">
        <f>'План и исполнение'!FJ26</f>
        <v>0</v>
      </c>
      <c r="AB25" s="103">
        <f>'План и исполнение'!FM26+'План и исполнение'!FS26</f>
        <v>0</v>
      </c>
      <c r="AC25" s="103">
        <f>'План и исполнение'!FP26+'План и исполнение'!FV26</f>
        <v>0</v>
      </c>
      <c r="AD25" s="103">
        <f>'План и исполнение'!GC26</f>
        <v>0</v>
      </c>
      <c r="AE25" s="101">
        <f>'План и исполнение'!GF26</f>
        <v>0</v>
      </c>
      <c r="AF25" s="104">
        <f>'План и исполнение'!GK26+'План и исполнение'!GU26</f>
        <v>1745336.24</v>
      </c>
      <c r="AG25" s="103">
        <f>'План и исполнение'!GP26+'План и исполнение'!GZ26</f>
        <v>293580.3</v>
      </c>
      <c r="AH25" s="103">
        <f>'План и исполнение'!GI26+'План и исполнение'!GS26</f>
        <v>0</v>
      </c>
      <c r="AI25" s="103">
        <f>'План и исполнение'!GX26+'План и исполнение'!GN26</f>
        <v>0</v>
      </c>
      <c r="AJ25" s="103">
        <f>'План и исполнение'!HW26</f>
        <v>0</v>
      </c>
      <c r="AK25" s="103">
        <f>'План и исполнение'!HZ26</f>
        <v>0</v>
      </c>
      <c r="AL25" s="103">
        <f>'План и исполнение'!IC26</f>
        <v>0</v>
      </c>
      <c r="AM25" s="101">
        <f>'План и исполнение'!IF26</f>
        <v>0</v>
      </c>
      <c r="AN25" s="104">
        <f>'План и исполнение'!II26</f>
        <v>0</v>
      </c>
      <c r="AO25" s="101">
        <f>'План и исполнение'!IL26</f>
        <v>0</v>
      </c>
      <c r="AP25" s="104">
        <f>'План и исполнение'!IO26+'План и исполнение'!IU26</f>
        <v>753594.34</v>
      </c>
      <c r="AQ25" s="103">
        <f>'План и исполнение'!IR26+'План и исполнение'!IX26</f>
        <v>753594.34</v>
      </c>
      <c r="AR25" s="103">
        <f>'План и исполнение'!JM26</f>
        <v>0</v>
      </c>
      <c r="AS25" s="101">
        <f>'План и исполнение'!JP26</f>
        <v>0</v>
      </c>
      <c r="AT25" s="104">
        <f>'План и исполнение'!JU26+'План и исполнение'!KE26</f>
        <v>23201.4</v>
      </c>
      <c r="AU25" s="103">
        <f>'План и исполнение'!KJ26+'План и исполнение'!JZ26</f>
        <v>0</v>
      </c>
      <c r="AV25" s="103">
        <f>'План и исполнение'!JS26+'План и исполнение'!KC26</f>
        <v>0</v>
      </c>
      <c r="AW25" s="101">
        <f>'План и исполнение'!KH26+'План и исполнение'!JX26</f>
        <v>0</v>
      </c>
      <c r="AX25" s="104">
        <f>'План и исполнение'!LG26</f>
        <v>0</v>
      </c>
      <c r="AY25" s="103">
        <f>'План и исполнение'!LM26</f>
        <v>0</v>
      </c>
      <c r="AZ25" s="103">
        <f>'План и исполнение'!LI26</f>
        <v>0</v>
      </c>
      <c r="BA25" s="101">
        <f>'План и исполнение'!LO26</f>
        <v>0</v>
      </c>
      <c r="BB25" s="104">
        <f>'План и исполнение'!LU26</f>
        <v>0</v>
      </c>
      <c r="BC25" s="101">
        <f>'План и исполнение'!LZ26</f>
        <v>0</v>
      </c>
      <c r="BD25" s="103">
        <f>'План и исполнение'!MD26</f>
        <v>0</v>
      </c>
      <c r="BE25" s="101">
        <f>'План и исполнение'!MH26</f>
        <v>0</v>
      </c>
      <c r="BF25" s="104">
        <f>'План и исполнение'!MO26+'План и исполнение'!MW26</f>
        <v>0</v>
      </c>
      <c r="BG25" s="101">
        <f>'План и исполнение'!MS26+'План и исполнение'!NA26</f>
        <v>0</v>
      </c>
      <c r="BH25" s="103">
        <f>'План и исполнение'!OA26</f>
        <v>0</v>
      </c>
      <c r="BI25" s="101">
        <f>'План и исполнение'!OH26</f>
        <v>0</v>
      </c>
      <c r="BJ25" s="103">
        <f>'План и исполнение'!OC26</f>
        <v>8279847.0399999991</v>
      </c>
      <c r="BK25" s="101">
        <f>'План и исполнение'!OJ26</f>
        <v>1239379.21</v>
      </c>
      <c r="BL25" s="103">
        <f>'План и исполнение'!OE26+'План и исполнение'!NU26</f>
        <v>146259000</v>
      </c>
      <c r="BM25" s="101">
        <f>'План и исполнение'!OL26+'План и исполнение'!NX26</f>
        <v>8914364.0600000005</v>
      </c>
      <c r="BN25" s="100">
        <f>'План и исполнение'!PQ26</f>
        <v>0</v>
      </c>
      <c r="BO25" s="101">
        <f>'План и исполнение'!PT26</f>
        <v>0</v>
      </c>
      <c r="BP25" s="103">
        <f>'План и исполнение'!PW26+'План и исполнение'!QC26</f>
        <v>0</v>
      </c>
      <c r="BQ25" s="103">
        <f>'План и исполнение'!PZ26+'План и исполнение'!QF26</f>
        <v>0</v>
      </c>
      <c r="BR25" s="103">
        <f t="shared" si="5"/>
        <v>2911500</v>
      </c>
      <c r="BS25" s="101">
        <f t="shared" si="6"/>
        <v>1600498.07</v>
      </c>
      <c r="BT25" s="104">
        <f>'План и исполнение'!RM26</f>
        <v>1277500</v>
      </c>
      <c r="BU25" s="101">
        <f>'План и исполнение'!RN26</f>
        <v>575798.27</v>
      </c>
      <c r="BV25" s="100">
        <f>'План и исполнение'!RO26</f>
        <v>4000</v>
      </c>
      <c r="BW25" s="100">
        <f>'План и исполнение'!RP26</f>
        <v>0</v>
      </c>
      <c r="BX25" s="279">
        <f>'План и исполнение'!RQ26</f>
        <v>0</v>
      </c>
      <c r="BY25" s="168">
        <f>'План и исполнение'!RR26</f>
        <v>0</v>
      </c>
      <c r="BZ25" s="170">
        <f>'План и исполнение'!RS26</f>
        <v>0</v>
      </c>
      <c r="CA25" s="168">
        <f>'План и исполнение'!RT26</f>
        <v>0</v>
      </c>
      <c r="CB25" s="170">
        <f>'План и исполнение'!RU26</f>
        <v>0</v>
      </c>
      <c r="CC25" s="168">
        <f>'План и исполнение'!RV26</f>
        <v>0</v>
      </c>
      <c r="CD25" s="103">
        <f>'План и исполнение'!RW26</f>
        <v>0</v>
      </c>
      <c r="CE25" s="101">
        <f>'План и исполнение'!RX26</f>
        <v>0</v>
      </c>
      <c r="CF25" s="103">
        <f>'План и исполнение'!SB26</f>
        <v>1560000</v>
      </c>
      <c r="CG25" s="103">
        <f>'План и исполнение'!SF26</f>
        <v>1024699.8</v>
      </c>
      <c r="CH25" s="103">
        <f>'План и исполнение'!SA26</f>
        <v>70000</v>
      </c>
      <c r="CI25" s="101">
        <f>'План и исполнение'!SE26</f>
        <v>0</v>
      </c>
      <c r="CJ25" s="104">
        <f t="shared" si="7"/>
        <v>0</v>
      </c>
      <c r="CK25" s="101">
        <f t="shared" si="8"/>
        <v>0</v>
      </c>
      <c r="CL25" s="104">
        <f>'План и исполнение'!VC26</f>
        <v>0</v>
      </c>
      <c r="CM25" s="103">
        <f>'План и исполнение'!VG26</f>
        <v>0</v>
      </c>
      <c r="CN25" s="103">
        <f>'План и исполнение'!SK26</f>
        <v>0</v>
      </c>
      <c r="CO25" s="101">
        <f>'План и исполнение'!SN26</f>
        <v>0</v>
      </c>
      <c r="CP25" s="104">
        <f>'План и исполнение'!SP26+'План и исполнение'!ST26</f>
        <v>0</v>
      </c>
      <c r="CQ25" s="101">
        <f>'План и исполнение'!SR26+'План и исполнение'!SV26</f>
        <v>0</v>
      </c>
      <c r="CR25" s="104">
        <f>'План и исполнение'!TB26+'План и исполнение'!TF26</f>
        <v>0</v>
      </c>
      <c r="CS25" s="103">
        <f>'План и исполнение'!TD26+'План и исполнение'!TH26</f>
        <v>0</v>
      </c>
      <c r="CT25" s="103">
        <f>'План и исполнение'!TN26+'План и исполнение'!TR26</f>
        <v>0</v>
      </c>
      <c r="CU25" s="103">
        <f>'План и исполнение'!TP26+'План и исполнение'!TT26</f>
        <v>0</v>
      </c>
      <c r="CV25" s="103">
        <f>'План и исполнение'!UG26+'План и исполнение'!UA26</f>
        <v>0</v>
      </c>
      <c r="CW25" s="101">
        <f>'План и исполнение'!UJ26+'План и исполнение'!UD26</f>
        <v>0</v>
      </c>
      <c r="CX25" s="104">
        <f>'План и исполнение'!UQ26</f>
        <v>0</v>
      </c>
      <c r="CY25" s="103">
        <f>'План и исполнение'!UT26</f>
        <v>0</v>
      </c>
      <c r="CZ25" s="103">
        <f>'План и исполнение'!UW26</f>
        <v>0</v>
      </c>
      <c r="DA25" s="101">
        <f>'План и исполнение'!UZ26</f>
        <v>0</v>
      </c>
      <c r="DC25" s="1018">
        <f t="shared" si="9"/>
        <v>1634</v>
      </c>
      <c r="DD25" s="1018">
        <f t="shared" si="10"/>
        <v>1024.6998000000001</v>
      </c>
      <c r="DG25" s="1410">
        <f t="shared" si="4"/>
        <v>-157060979.02000001</v>
      </c>
    </row>
    <row r="26" spans="1:111" ht="25.5" customHeight="1" x14ac:dyDescent="0.3">
      <c r="A26" s="102" t="s">
        <v>94</v>
      </c>
      <c r="B26" s="103">
        <f t="shared" si="0"/>
        <v>317321121.01999998</v>
      </c>
      <c r="C26" s="103">
        <f t="shared" si="1"/>
        <v>271645307.59000003</v>
      </c>
      <c r="D26" s="277">
        <f t="shared" si="2"/>
        <v>311807821.01999998</v>
      </c>
      <c r="E26" s="277">
        <f t="shared" si="3"/>
        <v>268720237.98000002</v>
      </c>
      <c r="F26" s="103">
        <f>'План и исполнение'!CN27</f>
        <v>0</v>
      </c>
      <c r="G26" s="101">
        <f>'План и исполнение'!CP27</f>
        <v>0</v>
      </c>
      <c r="H26" s="100">
        <f>'План и исполнение'!CQ27+'План и исполнение'!CS27</f>
        <v>20749529.690000001</v>
      </c>
      <c r="I26" s="103">
        <f>'План и исполнение'!CR27+'План и исполнение'!CT27</f>
        <v>6224858.9100000001</v>
      </c>
      <c r="J26" s="103">
        <f>'План и исполнение'!DI27</f>
        <v>0</v>
      </c>
      <c r="K26" s="101">
        <f>'План и исполнение'!DL27</f>
        <v>0</v>
      </c>
      <c r="L26" s="104">
        <f>'План и исполнение'!DP27</f>
        <v>0</v>
      </c>
      <c r="M26" s="101">
        <f>'План и исполнение'!DX27</f>
        <v>0</v>
      </c>
      <c r="N26" s="104">
        <f>'План и исполнение'!DR27</f>
        <v>0</v>
      </c>
      <c r="O26" s="103">
        <f>'План и исполнение'!DZ27</f>
        <v>0</v>
      </c>
      <c r="P26" s="101">
        <f>'План и исполнение'!EE27</f>
        <v>0</v>
      </c>
      <c r="Q26" s="103">
        <f>'План и исполнение'!EH27</f>
        <v>0</v>
      </c>
      <c r="R26" s="103">
        <f>'План и исполнение'!EK27</f>
        <v>0</v>
      </c>
      <c r="S26" s="103">
        <f>'План и исполнение'!EP27</f>
        <v>0</v>
      </c>
      <c r="T26" s="103">
        <f>'План и исполнение'!EM27</f>
        <v>0</v>
      </c>
      <c r="U26" s="101">
        <f>'План и исполнение'!ER27</f>
        <v>0</v>
      </c>
      <c r="V26" s="103">
        <f>'План и исполнение'!EU27</f>
        <v>0</v>
      </c>
      <c r="W26" s="101">
        <f>'План и исполнение'!EX27</f>
        <v>0</v>
      </c>
      <c r="X26" s="104">
        <f>'План и исполнение'!FA27</f>
        <v>0</v>
      </c>
      <c r="Y26" s="101">
        <f>'План и исполнение'!FD27</f>
        <v>0</v>
      </c>
      <c r="Z26" s="104">
        <f>'План и исполнение'!FG27</f>
        <v>0</v>
      </c>
      <c r="AA26" s="103">
        <f>'План и исполнение'!FJ27</f>
        <v>0</v>
      </c>
      <c r="AB26" s="103">
        <f>'План и исполнение'!FM27+'План и исполнение'!FS27</f>
        <v>0</v>
      </c>
      <c r="AC26" s="103">
        <f>'План и исполнение'!FP27+'План и исполнение'!FV27</f>
        <v>0</v>
      </c>
      <c r="AD26" s="103">
        <f>'План и исполнение'!GC27</f>
        <v>0</v>
      </c>
      <c r="AE26" s="101">
        <f>'План и исполнение'!GF27</f>
        <v>0</v>
      </c>
      <c r="AF26" s="104">
        <f>'План и исполнение'!GK27+'План и исполнение'!GU27</f>
        <v>0</v>
      </c>
      <c r="AG26" s="103">
        <f>'План и исполнение'!GP27+'План и исполнение'!GZ27</f>
        <v>0</v>
      </c>
      <c r="AH26" s="103">
        <f>'План и исполнение'!GI27+'План и исполнение'!GS27</f>
        <v>0</v>
      </c>
      <c r="AI26" s="103">
        <f>'План и исполнение'!GX27+'План и исполнение'!GN27</f>
        <v>0</v>
      </c>
      <c r="AJ26" s="103">
        <f>'План и исполнение'!HW27</f>
        <v>0</v>
      </c>
      <c r="AK26" s="103">
        <f>'План и исполнение'!HZ27</f>
        <v>0</v>
      </c>
      <c r="AL26" s="103">
        <f>'План и исполнение'!IC27</f>
        <v>0</v>
      </c>
      <c r="AM26" s="101">
        <f>'План и исполнение'!IF27</f>
        <v>0</v>
      </c>
      <c r="AN26" s="104">
        <f>'План и исполнение'!II27</f>
        <v>0</v>
      </c>
      <c r="AO26" s="101">
        <f>'План и исполнение'!IL27</f>
        <v>0</v>
      </c>
      <c r="AP26" s="104">
        <f>'План и исполнение'!IO27+'План и исполнение'!IU27</f>
        <v>676148.74</v>
      </c>
      <c r="AQ26" s="103">
        <f>'План и исполнение'!IR27+'План и исполнение'!IX27</f>
        <v>644547.92999999993</v>
      </c>
      <c r="AR26" s="103">
        <f>'План и исполнение'!JM27</f>
        <v>0</v>
      </c>
      <c r="AS26" s="101">
        <f>'План и исполнение'!JP27</f>
        <v>0</v>
      </c>
      <c r="AT26" s="104">
        <f>'План и исполнение'!JU27+'План и исполнение'!KE27</f>
        <v>0</v>
      </c>
      <c r="AU26" s="103">
        <f>'План и исполнение'!KJ27+'План и исполнение'!JZ27</f>
        <v>0</v>
      </c>
      <c r="AV26" s="103">
        <f>'План и исполнение'!JS27+'План и исполнение'!KC27</f>
        <v>0</v>
      </c>
      <c r="AW26" s="101">
        <f>'План и исполнение'!KH27+'План и исполнение'!JX27</f>
        <v>0</v>
      </c>
      <c r="AX26" s="104">
        <f>'План и исполнение'!LG27</f>
        <v>261338000</v>
      </c>
      <c r="AY26" s="103">
        <f>'План и исполнение'!LM27</f>
        <v>261338000</v>
      </c>
      <c r="AZ26" s="103">
        <f>'План и исполнение'!LI27</f>
        <v>0</v>
      </c>
      <c r="BA26" s="101">
        <f>'План и исполнение'!LO27</f>
        <v>0</v>
      </c>
      <c r="BB26" s="104">
        <f>'План и исполнение'!LU27</f>
        <v>0</v>
      </c>
      <c r="BC26" s="101">
        <f>'План и исполнение'!LZ27</f>
        <v>0</v>
      </c>
      <c r="BD26" s="103">
        <f>'План и исполнение'!MD27</f>
        <v>0</v>
      </c>
      <c r="BE26" s="101">
        <f>'План и исполнение'!MH27</f>
        <v>0</v>
      </c>
      <c r="BF26" s="104">
        <f>'План и исполнение'!MO27+'План и исполнение'!MW27</f>
        <v>16530000</v>
      </c>
      <c r="BG26" s="101">
        <f>'План и исполнение'!MS27+'План и исполнение'!NA27</f>
        <v>512831.14</v>
      </c>
      <c r="BH26" s="103">
        <f>'План и исполнение'!OA27</f>
        <v>0</v>
      </c>
      <c r="BI26" s="101">
        <f>'План и исполнение'!OH27</f>
        <v>0</v>
      </c>
      <c r="BJ26" s="103">
        <f>'План и исполнение'!OC27</f>
        <v>12514142.59</v>
      </c>
      <c r="BK26" s="101">
        <f>'План и исполнение'!OJ27</f>
        <v>0</v>
      </c>
      <c r="BL26" s="103">
        <f>'План и исполнение'!OE27+'План и исполнение'!NU27</f>
        <v>0</v>
      </c>
      <c r="BM26" s="101">
        <f>'План и исполнение'!OL27+'План и исполнение'!NX27</f>
        <v>0</v>
      </c>
      <c r="BN26" s="100">
        <f>'План и исполнение'!PQ27</f>
        <v>0</v>
      </c>
      <c r="BO26" s="101">
        <f>'План и исполнение'!PT27</f>
        <v>0</v>
      </c>
      <c r="BP26" s="103">
        <f>'План и исполнение'!PW27+'План и исполнение'!QC27</f>
        <v>0</v>
      </c>
      <c r="BQ26" s="103">
        <f>'План и исполнение'!PZ27+'План и исполнение'!QF27</f>
        <v>0</v>
      </c>
      <c r="BR26" s="103">
        <f t="shared" si="5"/>
        <v>5513300</v>
      </c>
      <c r="BS26" s="101">
        <f t="shared" si="6"/>
        <v>2925069.6100000003</v>
      </c>
      <c r="BT26" s="104">
        <f>'План и исполнение'!RM27</f>
        <v>2408300</v>
      </c>
      <c r="BU26" s="101">
        <f>'План и исполнение'!RN27</f>
        <v>1204150</v>
      </c>
      <c r="BV26" s="100">
        <f>'План и исполнение'!RO27</f>
        <v>5000</v>
      </c>
      <c r="BW26" s="100">
        <f>'План и исполнение'!RP27</f>
        <v>0</v>
      </c>
      <c r="BX26" s="279">
        <f>'План и исполнение'!RQ27</f>
        <v>0</v>
      </c>
      <c r="BY26" s="168">
        <f>'План и исполнение'!RR27</f>
        <v>0</v>
      </c>
      <c r="BZ26" s="170">
        <f>'План и исполнение'!RS27</f>
        <v>0</v>
      </c>
      <c r="CA26" s="168">
        <f>'План и исполнение'!RT27</f>
        <v>0</v>
      </c>
      <c r="CB26" s="170">
        <f>'План и исполнение'!RU27</f>
        <v>0</v>
      </c>
      <c r="CC26" s="168">
        <f>'План и исполнение'!RV27</f>
        <v>0</v>
      </c>
      <c r="CD26" s="103">
        <f>'План и исполнение'!RW27</f>
        <v>0</v>
      </c>
      <c r="CE26" s="101">
        <f>'План и исполнение'!RX27</f>
        <v>0</v>
      </c>
      <c r="CF26" s="103">
        <f>'План и исполнение'!SB27</f>
        <v>3000000</v>
      </c>
      <c r="CG26" s="103">
        <f>'План и исполнение'!SF27</f>
        <v>1720919.61</v>
      </c>
      <c r="CH26" s="103">
        <f>'План и исполнение'!SA27</f>
        <v>100000</v>
      </c>
      <c r="CI26" s="101">
        <f>'План и исполнение'!SE27</f>
        <v>0</v>
      </c>
      <c r="CJ26" s="104">
        <f t="shared" si="7"/>
        <v>0</v>
      </c>
      <c r="CK26" s="101">
        <f t="shared" si="8"/>
        <v>0</v>
      </c>
      <c r="CL26" s="104">
        <f>'План и исполнение'!VC27</f>
        <v>0</v>
      </c>
      <c r="CM26" s="103">
        <f>'План и исполнение'!VG27</f>
        <v>0</v>
      </c>
      <c r="CN26" s="103">
        <f>'План и исполнение'!SK27</f>
        <v>0</v>
      </c>
      <c r="CO26" s="101">
        <f>'План и исполнение'!SN27</f>
        <v>0</v>
      </c>
      <c r="CP26" s="104">
        <f>'План и исполнение'!SP27+'План и исполнение'!ST27</f>
        <v>0</v>
      </c>
      <c r="CQ26" s="101">
        <f>'План и исполнение'!SR27+'План и исполнение'!SV27</f>
        <v>0</v>
      </c>
      <c r="CR26" s="104">
        <f>'План и исполнение'!TB27+'План и исполнение'!TF27</f>
        <v>0</v>
      </c>
      <c r="CS26" s="103">
        <f>'План и исполнение'!TD27+'План и исполнение'!TH27</f>
        <v>0</v>
      </c>
      <c r="CT26" s="103">
        <f>'План и исполнение'!TN27+'План и исполнение'!TR27</f>
        <v>0</v>
      </c>
      <c r="CU26" s="103">
        <f>'План и исполнение'!TP27+'План и исполнение'!TT27</f>
        <v>0</v>
      </c>
      <c r="CV26" s="103">
        <f>'План и исполнение'!UG27+'План и исполнение'!UA27</f>
        <v>0</v>
      </c>
      <c r="CW26" s="101">
        <f>'План и исполнение'!UJ27+'План и исполнение'!UD27</f>
        <v>0</v>
      </c>
      <c r="CX26" s="104">
        <f>'План и исполнение'!UQ27</f>
        <v>0</v>
      </c>
      <c r="CY26" s="103">
        <f>'План и исполнение'!UT27</f>
        <v>0</v>
      </c>
      <c r="CZ26" s="103">
        <f>'План и исполнение'!UW27</f>
        <v>0</v>
      </c>
      <c r="DA26" s="101">
        <f>'План и исполнение'!UZ27</f>
        <v>0</v>
      </c>
      <c r="DC26" s="1018">
        <f t="shared" si="9"/>
        <v>3105</v>
      </c>
      <c r="DD26" s="1018">
        <f t="shared" si="10"/>
        <v>1720.9196100000004</v>
      </c>
      <c r="DG26" s="1410">
        <f t="shared" si="4"/>
        <v>-311807821.01999998</v>
      </c>
    </row>
    <row r="27" spans="1:111" ht="25.5" customHeight="1" x14ac:dyDescent="0.3">
      <c r="A27" s="102" t="s">
        <v>95</v>
      </c>
      <c r="B27" s="103">
        <f t="shared" si="0"/>
        <v>87857799</v>
      </c>
      <c r="C27" s="103">
        <f t="shared" si="1"/>
        <v>4920039.63</v>
      </c>
      <c r="D27" s="277">
        <f t="shared" si="2"/>
        <v>85151499</v>
      </c>
      <c r="E27" s="277">
        <f t="shared" si="3"/>
        <v>3671398.81</v>
      </c>
      <c r="F27" s="103">
        <f>'План и исполнение'!CN28</f>
        <v>0</v>
      </c>
      <c r="G27" s="101">
        <f>'План и исполнение'!CP28</f>
        <v>0</v>
      </c>
      <c r="H27" s="100">
        <f>'План и исполнение'!CQ28+'План и исполнение'!CS28</f>
        <v>0</v>
      </c>
      <c r="I27" s="103">
        <f>'План и исполнение'!CR28+'План и исполнение'!CT28</f>
        <v>0</v>
      </c>
      <c r="J27" s="103">
        <f>'План и исполнение'!DI28</f>
        <v>0</v>
      </c>
      <c r="K27" s="101">
        <f>'План и исполнение'!DL28</f>
        <v>0</v>
      </c>
      <c r="L27" s="104">
        <f>'План и исполнение'!DP28</f>
        <v>0</v>
      </c>
      <c r="M27" s="101">
        <f>'План и исполнение'!DX28</f>
        <v>0</v>
      </c>
      <c r="N27" s="104">
        <f>'План и исполнение'!DR28</f>
        <v>0</v>
      </c>
      <c r="O27" s="103">
        <f>'План и исполнение'!DZ28</f>
        <v>0</v>
      </c>
      <c r="P27" s="101">
        <f>'План и исполнение'!EE28</f>
        <v>0</v>
      </c>
      <c r="Q27" s="103">
        <f>'План и исполнение'!EH28</f>
        <v>0</v>
      </c>
      <c r="R27" s="103">
        <f>'План и исполнение'!EK28</f>
        <v>0</v>
      </c>
      <c r="S27" s="103">
        <f>'План и исполнение'!EP28</f>
        <v>0</v>
      </c>
      <c r="T27" s="103">
        <f>'План и исполнение'!EM28</f>
        <v>0</v>
      </c>
      <c r="U27" s="101">
        <f>'План и исполнение'!ER28</f>
        <v>0</v>
      </c>
      <c r="V27" s="103">
        <f>'План и исполнение'!EU28</f>
        <v>0</v>
      </c>
      <c r="W27" s="101">
        <f>'План и исполнение'!EX28</f>
        <v>0</v>
      </c>
      <c r="X27" s="104">
        <f>'План и исполнение'!FA28</f>
        <v>0</v>
      </c>
      <c r="Y27" s="101">
        <f>'План и исполнение'!FD28</f>
        <v>0</v>
      </c>
      <c r="Z27" s="104">
        <f>'План и исполнение'!FG28</f>
        <v>0</v>
      </c>
      <c r="AA27" s="103">
        <f>'План и исполнение'!FJ28</f>
        <v>0</v>
      </c>
      <c r="AB27" s="103">
        <f>'План и исполнение'!FM28+'План и исполнение'!FS28</f>
        <v>0</v>
      </c>
      <c r="AC27" s="103">
        <f>'План и исполнение'!FP28+'План и исполнение'!FV28</f>
        <v>0</v>
      </c>
      <c r="AD27" s="103">
        <f>'План и исполнение'!GC28</f>
        <v>0</v>
      </c>
      <c r="AE27" s="101">
        <f>'План и исполнение'!GF28</f>
        <v>0</v>
      </c>
      <c r="AF27" s="104">
        <f>'План и исполнение'!GK28+'План и исполнение'!GU28</f>
        <v>514815.14</v>
      </c>
      <c r="AG27" s="103">
        <f>'План и исполнение'!GP28+'План и исполнение'!GZ28</f>
        <v>0</v>
      </c>
      <c r="AH27" s="103">
        <f>'План и исполнение'!GI28+'План и исполнение'!GS28</f>
        <v>0</v>
      </c>
      <c r="AI27" s="103">
        <f>'План и исполнение'!GX28+'План и исполнение'!GN28</f>
        <v>0</v>
      </c>
      <c r="AJ27" s="103">
        <f>'План и исполнение'!HW28</f>
        <v>0</v>
      </c>
      <c r="AK27" s="103">
        <f>'План и исполнение'!HZ28</f>
        <v>0</v>
      </c>
      <c r="AL27" s="103">
        <f>'План и исполнение'!IC28</f>
        <v>7199992.71</v>
      </c>
      <c r="AM27" s="101">
        <f>'План и исполнение'!IF28</f>
        <v>0</v>
      </c>
      <c r="AN27" s="104">
        <f>'План и исполнение'!II28</f>
        <v>0</v>
      </c>
      <c r="AO27" s="101">
        <f>'План и исполнение'!IL28</f>
        <v>0</v>
      </c>
      <c r="AP27" s="104">
        <f>'План и исполнение'!IO28+'План и исполнение'!IU28</f>
        <v>725683.6</v>
      </c>
      <c r="AQ27" s="103">
        <f>'План и исполнение'!IR28+'План и исполнение'!IX28</f>
        <v>166926.69</v>
      </c>
      <c r="AR27" s="103">
        <f>'План и исполнение'!JM28</f>
        <v>0</v>
      </c>
      <c r="AS27" s="101">
        <f>'План и исполнение'!JP28</f>
        <v>0</v>
      </c>
      <c r="AT27" s="104">
        <f>'План и исполнение'!JU28+'План и исполнение'!KE28</f>
        <v>0</v>
      </c>
      <c r="AU27" s="103">
        <f>'План и исполнение'!KJ28+'План и исполнение'!JZ28</f>
        <v>0</v>
      </c>
      <c r="AV27" s="103">
        <f>'План и исполнение'!JS28+'План и исполнение'!KC28</f>
        <v>0</v>
      </c>
      <c r="AW27" s="101">
        <f>'План и исполнение'!KH28+'План и исполнение'!JX28</f>
        <v>0</v>
      </c>
      <c r="AX27" s="104">
        <f>'План и исполнение'!LG28</f>
        <v>0</v>
      </c>
      <c r="AY27" s="103">
        <f>'План и исполнение'!LM28</f>
        <v>0</v>
      </c>
      <c r="AZ27" s="103">
        <f>'План и исполнение'!LI28</f>
        <v>0</v>
      </c>
      <c r="BA27" s="101">
        <f>'План и исполнение'!LO28</f>
        <v>0</v>
      </c>
      <c r="BB27" s="104">
        <f>'План и исполнение'!LU28</f>
        <v>0</v>
      </c>
      <c r="BC27" s="101">
        <f>'План и исполнение'!LZ28</f>
        <v>0</v>
      </c>
      <c r="BD27" s="103">
        <f>'План и исполнение'!MD28</f>
        <v>0</v>
      </c>
      <c r="BE27" s="101">
        <f>'План и исполнение'!MH28</f>
        <v>0</v>
      </c>
      <c r="BF27" s="104">
        <f>'План и исполнение'!MO28+'План и исполнение'!MW28</f>
        <v>0</v>
      </c>
      <c r="BG27" s="101">
        <f>'План и исполнение'!MS28+'План и исполнение'!NA28</f>
        <v>0</v>
      </c>
      <c r="BH27" s="103">
        <f>'План и исполнение'!OA28</f>
        <v>0</v>
      </c>
      <c r="BI27" s="101">
        <f>'План и исполнение'!OH28</f>
        <v>0</v>
      </c>
      <c r="BJ27" s="103">
        <f>'План и исполнение'!OC28</f>
        <v>6300007.5499999998</v>
      </c>
      <c r="BK27" s="101">
        <f>'План и исполнение'!OJ28</f>
        <v>0</v>
      </c>
      <c r="BL27" s="103">
        <f>'План и исполнение'!OE28+'План и исполнение'!NU28</f>
        <v>70411000</v>
      </c>
      <c r="BM27" s="101">
        <f>'План и исполнение'!OL28+'План и исполнение'!NX28</f>
        <v>3504472.12</v>
      </c>
      <c r="BN27" s="100">
        <f>'План и исполнение'!PQ28</f>
        <v>0</v>
      </c>
      <c r="BO27" s="101">
        <f>'План и исполнение'!PT28</f>
        <v>0</v>
      </c>
      <c r="BP27" s="103">
        <f>'План и исполнение'!PW28+'План и исполнение'!QC28</f>
        <v>0</v>
      </c>
      <c r="BQ27" s="103">
        <f>'План и исполнение'!PZ28+'План и исполнение'!QF28</f>
        <v>0</v>
      </c>
      <c r="BR27" s="103">
        <f t="shared" si="5"/>
        <v>2706300</v>
      </c>
      <c r="BS27" s="101">
        <f t="shared" si="6"/>
        <v>1248640.82</v>
      </c>
      <c r="BT27" s="104">
        <f>'План и исполнение'!RM28</f>
        <v>1356300</v>
      </c>
      <c r="BU27" s="101">
        <f>'План и исполнение'!RN28</f>
        <v>523550.95</v>
      </c>
      <c r="BV27" s="100">
        <f>'План и исполнение'!RO28</f>
        <v>0</v>
      </c>
      <c r="BW27" s="100">
        <f>'План и исполнение'!RP28</f>
        <v>0</v>
      </c>
      <c r="BX27" s="279">
        <f>'План и исполнение'!RQ28</f>
        <v>0</v>
      </c>
      <c r="BY27" s="168">
        <f>'План и исполнение'!RR28</f>
        <v>0</v>
      </c>
      <c r="BZ27" s="170">
        <f>'План и исполнение'!RS28</f>
        <v>0</v>
      </c>
      <c r="CA27" s="168">
        <f>'План и исполнение'!RT28</f>
        <v>0</v>
      </c>
      <c r="CB27" s="170">
        <f>'План и исполнение'!RU28</f>
        <v>0</v>
      </c>
      <c r="CC27" s="168">
        <f>'План и исполнение'!RV28</f>
        <v>0</v>
      </c>
      <c r="CD27" s="103">
        <f>'План и исполнение'!RW28</f>
        <v>0</v>
      </c>
      <c r="CE27" s="101">
        <f>'План и исполнение'!RX28</f>
        <v>0</v>
      </c>
      <c r="CF27" s="103">
        <f>'План и исполнение'!SB28</f>
        <v>1300000</v>
      </c>
      <c r="CG27" s="103">
        <f>'План и исполнение'!SF28</f>
        <v>725089.87</v>
      </c>
      <c r="CH27" s="103">
        <f>'План и исполнение'!SA28</f>
        <v>50000</v>
      </c>
      <c r="CI27" s="101">
        <f>'План и исполнение'!SE28</f>
        <v>0</v>
      </c>
      <c r="CJ27" s="104">
        <f t="shared" si="7"/>
        <v>0</v>
      </c>
      <c r="CK27" s="101">
        <f t="shared" si="8"/>
        <v>0</v>
      </c>
      <c r="CL27" s="104">
        <f>'План и исполнение'!VC28</f>
        <v>0</v>
      </c>
      <c r="CM27" s="103">
        <f>'План и исполнение'!VG28</f>
        <v>0</v>
      </c>
      <c r="CN27" s="103">
        <f>'План и исполнение'!SK28</f>
        <v>0</v>
      </c>
      <c r="CO27" s="101">
        <f>'План и исполнение'!SN28</f>
        <v>0</v>
      </c>
      <c r="CP27" s="104">
        <f>'План и исполнение'!SP28+'План и исполнение'!ST28</f>
        <v>0</v>
      </c>
      <c r="CQ27" s="101">
        <f>'План и исполнение'!SR28+'План и исполнение'!SV28</f>
        <v>0</v>
      </c>
      <c r="CR27" s="104">
        <f>'План и исполнение'!TB28+'План и исполнение'!TF28</f>
        <v>0</v>
      </c>
      <c r="CS27" s="103">
        <f>'План и исполнение'!TD28+'План и исполнение'!TH28</f>
        <v>0</v>
      </c>
      <c r="CT27" s="103">
        <f>'План и исполнение'!TN28+'План и исполнение'!TR28</f>
        <v>0</v>
      </c>
      <c r="CU27" s="103">
        <f>'План и исполнение'!TP28+'План и исполнение'!TT28</f>
        <v>0</v>
      </c>
      <c r="CV27" s="103">
        <f>'План и исполнение'!UG28+'План и исполнение'!UA28</f>
        <v>0</v>
      </c>
      <c r="CW27" s="101">
        <f>'План и исполнение'!UJ28+'План и исполнение'!UD28</f>
        <v>0</v>
      </c>
      <c r="CX27" s="104">
        <f>'План и исполнение'!UQ28</f>
        <v>0</v>
      </c>
      <c r="CY27" s="103">
        <f>'План и исполнение'!UT28</f>
        <v>0</v>
      </c>
      <c r="CZ27" s="103">
        <f>'План и исполнение'!UW28</f>
        <v>0</v>
      </c>
      <c r="DA27" s="101">
        <f>'План и исполнение'!UZ28</f>
        <v>0</v>
      </c>
      <c r="DC27" s="1018">
        <f t="shared" si="9"/>
        <v>1350</v>
      </c>
      <c r="DD27" s="1018">
        <f t="shared" si="10"/>
        <v>725.08987000000013</v>
      </c>
      <c r="DG27" s="1410">
        <f t="shared" si="4"/>
        <v>-85151499</v>
      </c>
    </row>
    <row r="28" spans="1:111" ht="25.5" customHeight="1" thickBot="1" x14ac:dyDescent="0.35">
      <c r="A28" s="106" t="s">
        <v>96</v>
      </c>
      <c r="B28" s="108">
        <f t="shared" si="0"/>
        <v>97582505.780000001</v>
      </c>
      <c r="C28" s="1304">
        <f t="shared" si="1"/>
        <v>7245049.0600000005</v>
      </c>
      <c r="D28" s="277">
        <f t="shared" si="2"/>
        <v>48071605.780000001</v>
      </c>
      <c r="E28" s="277">
        <f t="shared" si="3"/>
        <v>4548120.71</v>
      </c>
      <c r="F28" s="108">
        <f>'План и исполнение'!CN29</f>
        <v>0</v>
      </c>
      <c r="G28" s="107">
        <f>'План и исполнение'!CP29</f>
        <v>0</v>
      </c>
      <c r="H28" s="491">
        <f>'План и исполнение'!CQ29+'План и исполнение'!CS29</f>
        <v>0</v>
      </c>
      <c r="I28" s="108">
        <f>'План и исполнение'!CR29+'План и исполнение'!CT29</f>
        <v>0</v>
      </c>
      <c r="J28" s="108">
        <f>'План и исполнение'!DI29</f>
        <v>0</v>
      </c>
      <c r="K28" s="107">
        <f>'План и исполнение'!DL29</f>
        <v>0</v>
      </c>
      <c r="L28" s="109">
        <f>'План и исполнение'!DP29</f>
        <v>0</v>
      </c>
      <c r="M28" s="107">
        <f>'План и исполнение'!DX29</f>
        <v>0</v>
      </c>
      <c r="N28" s="109">
        <f>'План и исполнение'!DR29</f>
        <v>0</v>
      </c>
      <c r="O28" s="108">
        <f>'План и исполнение'!DZ29</f>
        <v>0</v>
      </c>
      <c r="P28" s="107">
        <f>'План и исполнение'!EE29</f>
        <v>0</v>
      </c>
      <c r="Q28" s="108">
        <f>'План и исполнение'!EH29</f>
        <v>0</v>
      </c>
      <c r="R28" s="108">
        <f>'План и исполнение'!EK29</f>
        <v>2859675</v>
      </c>
      <c r="S28" s="108">
        <f>'План и исполнение'!EP29</f>
        <v>0</v>
      </c>
      <c r="T28" s="108">
        <f>'План и исполнение'!EM29</f>
        <v>0</v>
      </c>
      <c r="U28" s="107">
        <f>'План и исполнение'!ER29</f>
        <v>0</v>
      </c>
      <c r="V28" s="108">
        <f>'План и исполнение'!EU29</f>
        <v>0</v>
      </c>
      <c r="W28" s="107">
        <f>'План и исполнение'!EX29</f>
        <v>0</v>
      </c>
      <c r="X28" s="109">
        <f>'План и исполнение'!FA29</f>
        <v>0</v>
      </c>
      <c r="Y28" s="107">
        <f>'План и исполнение'!FD29</f>
        <v>0</v>
      </c>
      <c r="Z28" s="109">
        <f>'План и исполнение'!FG29</f>
        <v>0</v>
      </c>
      <c r="AA28" s="108">
        <f>'План и исполнение'!FJ29</f>
        <v>0</v>
      </c>
      <c r="AB28" s="108">
        <f>'План и исполнение'!FM29+'План и исполнение'!FS29</f>
        <v>0</v>
      </c>
      <c r="AC28" s="108">
        <f>'План и исполнение'!FP29+'План и исполнение'!FV29</f>
        <v>0</v>
      </c>
      <c r="AD28" s="108">
        <f>'План и исполнение'!GC29</f>
        <v>0</v>
      </c>
      <c r="AE28" s="107">
        <f>'План и исполнение'!GF29</f>
        <v>0</v>
      </c>
      <c r="AF28" s="109">
        <f>'План и исполнение'!GK29+'План и исполнение'!GU29</f>
        <v>221837.35</v>
      </c>
      <c r="AG28" s="108">
        <f>'План и исполнение'!GP29+'План и исполнение'!GZ29</f>
        <v>109978.33</v>
      </c>
      <c r="AH28" s="108">
        <f>'План и исполнение'!GI29+'План и исполнение'!GS29</f>
        <v>0</v>
      </c>
      <c r="AI28" s="108">
        <f>'План и исполнение'!GX29+'План и исполнение'!GN29</f>
        <v>0</v>
      </c>
      <c r="AJ28" s="108">
        <f>'План и исполнение'!HW29</f>
        <v>0</v>
      </c>
      <c r="AK28" s="108">
        <f>'План и исполнение'!HZ29</f>
        <v>0</v>
      </c>
      <c r="AL28" s="108">
        <f>'План и исполнение'!IC29</f>
        <v>0</v>
      </c>
      <c r="AM28" s="107">
        <f>'План и исполнение'!IF29</f>
        <v>0</v>
      </c>
      <c r="AN28" s="109">
        <f>'План и исполнение'!II29</f>
        <v>0</v>
      </c>
      <c r="AO28" s="107">
        <f>'План и исполнение'!IL29</f>
        <v>0</v>
      </c>
      <c r="AP28" s="109">
        <f>'План и исполнение'!IO29+'План и исполнение'!IU29</f>
        <v>2553558.46</v>
      </c>
      <c r="AQ28" s="108">
        <f>'План и исполнение'!IR29+'План и исполнение'!IX29</f>
        <v>2495339.37</v>
      </c>
      <c r="AR28" s="108">
        <f>'План и исполнение'!JM29</f>
        <v>0</v>
      </c>
      <c r="AS28" s="107">
        <f>'План и исполнение'!JP29</f>
        <v>0</v>
      </c>
      <c r="AT28" s="109">
        <f>'План и исполнение'!JU29+'План и исполнение'!KE29</f>
        <v>0</v>
      </c>
      <c r="AU28" s="108">
        <f>'План и исполнение'!KJ29+'План и исполнение'!JZ29</f>
        <v>0</v>
      </c>
      <c r="AV28" s="108">
        <f>'План и исполнение'!JS29+'План и исполнение'!KC29</f>
        <v>22680000</v>
      </c>
      <c r="AW28" s="107">
        <f>'План и исполнение'!KH29+'План и исполнение'!JX29</f>
        <v>781988.82</v>
      </c>
      <c r="AX28" s="109">
        <f>'План и исполнение'!LG29</f>
        <v>0</v>
      </c>
      <c r="AY28" s="108">
        <f>'План и исполнение'!LM29</f>
        <v>0</v>
      </c>
      <c r="AZ28" s="108">
        <f>'План и исполнение'!LI29</f>
        <v>0</v>
      </c>
      <c r="BA28" s="107">
        <f>'План и исполнение'!LO29</f>
        <v>0</v>
      </c>
      <c r="BB28" s="109">
        <f>'План и исполнение'!LU29</f>
        <v>0</v>
      </c>
      <c r="BC28" s="107">
        <f>'План и исполнение'!LZ29</f>
        <v>0</v>
      </c>
      <c r="BD28" s="108">
        <f>'План и исполнение'!MD29</f>
        <v>0</v>
      </c>
      <c r="BE28" s="107">
        <f>'План и исполнение'!MH29</f>
        <v>0</v>
      </c>
      <c r="BF28" s="109">
        <f>'План и исполнение'!MO29+'План и исполнение'!MW29</f>
        <v>16530000</v>
      </c>
      <c r="BG28" s="107">
        <f>'План и исполнение'!MS29+'План и исполнение'!NA29</f>
        <v>929407.13</v>
      </c>
      <c r="BH28" s="108">
        <f>'План и исполнение'!OA29</f>
        <v>0</v>
      </c>
      <c r="BI28" s="107">
        <f>'План и исполнение'!OH29</f>
        <v>0</v>
      </c>
      <c r="BJ28" s="108">
        <f>'План и исполнение'!OC29</f>
        <v>3226534.9699999997</v>
      </c>
      <c r="BK28" s="107">
        <f>'План и исполнение'!OJ29</f>
        <v>231407.06</v>
      </c>
      <c r="BL28" s="108">
        <f>'План и исполнение'!OE29+'План и исполнение'!NU29</f>
        <v>0</v>
      </c>
      <c r="BM28" s="107">
        <f>'План и исполнение'!OL29+'План и исполнение'!NX29</f>
        <v>0</v>
      </c>
      <c r="BN28" s="1283">
        <f>'План и исполнение'!PQ29</f>
        <v>0</v>
      </c>
      <c r="BO28" s="1148">
        <f>'План и исполнение'!PT29</f>
        <v>0</v>
      </c>
      <c r="BP28" s="108">
        <f>'План и исполнение'!PW29+'План и исполнение'!QC29</f>
        <v>0</v>
      </c>
      <c r="BQ28" s="108">
        <f>'План и исполнение'!PZ29+'План и исполнение'!QF29</f>
        <v>0</v>
      </c>
      <c r="BR28" s="108">
        <f t="shared" si="5"/>
        <v>4510900</v>
      </c>
      <c r="BS28" s="107">
        <f t="shared" si="6"/>
        <v>1947028.35</v>
      </c>
      <c r="BT28" s="109">
        <f>'План и исполнение'!RM29</f>
        <v>1908900</v>
      </c>
      <c r="BU28" s="107">
        <f>'План и исполнение'!RN29</f>
        <v>753382.40000000002</v>
      </c>
      <c r="BV28" s="100">
        <f>'План и исполнение'!RO29</f>
        <v>2000</v>
      </c>
      <c r="BW28" s="100">
        <f>'План и исполнение'!RP29</f>
        <v>0</v>
      </c>
      <c r="BX28" s="280">
        <f>'План и исполнение'!RQ29</f>
        <v>0</v>
      </c>
      <c r="BY28" s="462">
        <f>'План и исполнение'!RR29</f>
        <v>0</v>
      </c>
      <c r="BZ28" s="171">
        <f>'План и исполнение'!RS29</f>
        <v>0</v>
      </c>
      <c r="CA28" s="462">
        <f>'План и исполнение'!RT29</f>
        <v>0</v>
      </c>
      <c r="CB28" s="171">
        <f>'План и исполнение'!RU29</f>
        <v>0</v>
      </c>
      <c r="CC28" s="462">
        <f>'План и исполнение'!RV29</f>
        <v>0</v>
      </c>
      <c r="CD28" s="108">
        <f>'План и исполнение'!RW29</f>
        <v>0</v>
      </c>
      <c r="CE28" s="107">
        <f>'План и исполнение'!RX29</f>
        <v>0</v>
      </c>
      <c r="CF28" s="108">
        <f>'План и исполнение'!SB29</f>
        <v>2400000</v>
      </c>
      <c r="CG28" s="108">
        <f>'План и исполнение'!SF29</f>
        <v>1193645.95</v>
      </c>
      <c r="CH28" s="108">
        <f>'План и исполнение'!SA29</f>
        <v>200000</v>
      </c>
      <c r="CI28" s="107">
        <f>'План и исполнение'!SE29</f>
        <v>0</v>
      </c>
      <c r="CJ28" s="109">
        <f t="shared" si="7"/>
        <v>45000000</v>
      </c>
      <c r="CK28" s="107">
        <f t="shared" si="8"/>
        <v>749900</v>
      </c>
      <c r="CL28" s="109">
        <f>'План и исполнение'!VC29</f>
        <v>0</v>
      </c>
      <c r="CM28" s="108">
        <f>'План и исполнение'!VG29</f>
        <v>0</v>
      </c>
      <c r="CN28" s="108">
        <f>'План и исполнение'!SK29</f>
        <v>0</v>
      </c>
      <c r="CO28" s="107">
        <f>'План и исполнение'!SN29</f>
        <v>0</v>
      </c>
      <c r="CP28" s="1509">
        <f>'План и исполнение'!SP29+'План и исполнение'!ST29</f>
        <v>0</v>
      </c>
      <c r="CQ28" s="1148">
        <f>'План и исполнение'!SR29+'План и исполнение'!SV29</f>
        <v>0</v>
      </c>
      <c r="CR28" s="109">
        <f>'План и исполнение'!TB29+'План и исполнение'!TF29</f>
        <v>0</v>
      </c>
      <c r="CS28" s="108">
        <f>'План и исполнение'!TD29+'План и исполнение'!TH29</f>
        <v>0</v>
      </c>
      <c r="CT28" s="108">
        <f>'План и исполнение'!TN29+'План и исполнение'!TR29</f>
        <v>0</v>
      </c>
      <c r="CU28" s="108">
        <f>'План и исполнение'!TP29+'План и исполнение'!TT29</f>
        <v>0</v>
      </c>
      <c r="CV28" s="108">
        <f>'План и исполнение'!UG29+'План и исполнение'!UA29</f>
        <v>45000000</v>
      </c>
      <c r="CW28" s="107">
        <f>'План и исполнение'!UJ29+'План и исполнение'!UD29</f>
        <v>749900</v>
      </c>
      <c r="CX28" s="109">
        <f>'План и исполнение'!UQ29</f>
        <v>0</v>
      </c>
      <c r="CY28" s="108">
        <f>'План и исполнение'!UT29</f>
        <v>0</v>
      </c>
      <c r="CZ28" s="108">
        <f>'План и исполнение'!UW29</f>
        <v>0</v>
      </c>
      <c r="DA28" s="107">
        <f>'План и исполнение'!UZ29</f>
        <v>0</v>
      </c>
      <c r="DC28" s="1018">
        <f t="shared" si="9"/>
        <v>2602</v>
      </c>
      <c r="DD28" s="1018">
        <f t="shared" si="10"/>
        <v>1193.6459500000001</v>
      </c>
      <c r="DG28" s="1410">
        <f t="shared" si="4"/>
        <v>-48071605.780000001</v>
      </c>
    </row>
    <row r="29" spans="1:111" ht="25.5" customHeight="1" thickBot="1" x14ac:dyDescent="0.35">
      <c r="A29" s="160" t="s">
        <v>104</v>
      </c>
      <c r="B29" s="112">
        <f t="shared" ref="B29:C29" si="11">SUM(B11:B28)</f>
        <v>1390480362.2</v>
      </c>
      <c r="C29" s="114">
        <f t="shared" si="11"/>
        <v>473377390.78000003</v>
      </c>
      <c r="D29" s="463">
        <f t="shared" ref="D29:G29" si="12">SUM(D11:D28)</f>
        <v>1215968761.2</v>
      </c>
      <c r="E29" s="114">
        <f t="shared" si="12"/>
        <v>419976450.35000002</v>
      </c>
      <c r="F29" s="112">
        <f t="shared" si="12"/>
        <v>0</v>
      </c>
      <c r="G29" s="111">
        <f t="shared" si="12"/>
        <v>0</v>
      </c>
      <c r="H29" s="1297">
        <f t="shared" ref="H29:BG29" si="13">SUM(H11:H28)</f>
        <v>140191035.75</v>
      </c>
      <c r="I29" s="112">
        <f t="shared" si="13"/>
        <v>59299708.179999992</v>
      </c>
      <c r="J29" s="112">
        <f t="shared" ref="J29:K29" si="14">SUM(J11:J28)</f>
        <v>0</v>
      </c>
      <c r="K29" s="111">
        <f t="shared" si="14"/>
        <v>0</v>
      </c>
      <c r="L29" s="112">
        <f t="shared" ref="L29:M29" si="15">SUM(L11:L28)</f>
        <v>2664000</v>
      </c>
      <c r="M29" s="111">
        <f t="shared" si="15"/>
        <v>0</v>
      </c>
      <c r="N29" s="112">
        <f t="shared" si="13"/>
        <v>363600</v>
      </c>
      <c r="O29" s="112">
        <f t="shared" si="13"/>
        <v>0</v>
      </c>
      <c r="P29" s="111">
        <f>SUM(P11:P28)</f>
        <v>4766000</v>
      </c>
      <c r="Q29" s="112">
        <f>SUM(Q11:Q28)</f>
        <v>0</v>
      </c>
      <c r="R29" s="112">
        <f t="shared" ref="R29:S29" si="16">SUM(R11:R28)</f>
        <v>11438700</v>
      </c>
      <c r="S29" s="111">
        <f t="shared" si="16"/>
        <v>5670930.9699999997</v>
      </c>
      <c r="T29" s="115">
        <f>SUM(T11:T28)</f>
        <v>40000000</v>
      </c>
      <c r="U29" s="111">
        <f>SUM(U11:U28)</f>
        <v>0</v>
      </c>
      <c r="V29" s="112">
        <f>SUM(V11:V28)</f>
        <v>0</v>
      </c>
      <c r="W29" s="111">
        <f>SUM(W11:W28)</f>
        <v>0</v>
      </c>
      <c r="X29" s="112">
        <f t="shared" ref="X29:Y29" si="17">SUM(X11:X28)</f>
        <v>141345300</v>
      </c>
      <c r="Y29" s="111">
        <f t="shared" si="17"/>
        <v>15502652.77</v>
      </c>
      <c r="Z29" s="112">
        <f t="shared" ref="Z29:AA29" si="18">SUM(Z11:Z28)</f>
        <v>0</v>
      </c>
      <c r="AA29" s="111">
        <f t="shared" si="18"/>
        <v>0</v>
      </c>
      <c r="AB29" s="112">
        <f t="shared" ref="AB29:AG29" si="19">SUM(AB11:AB28)</f>
        <v>0</v>
      </c>
      <c r="AC29" s="111">
        <f t="shared" si="19"/>
        <v>0</v>
      </c>
      <c r="AD29" s="112">
        <f t="shared" ref="AD29:AE29" si="20">SUM(AD11:AD28)</f>
        <v>16640800</v>
      </c>
      <c r="AE29" s="111">
        <f t="shared" si="20"/>
        <v>0</v>
      </c>
      <c r="AF29" s="112">
        <f t="shared" si="19"/>
        <v>5885332.7499999991</v>
      </c>
      <c r="AG29" s="111">
        <f t="shared" si="19"/>
        <v>1224508.2</v>
      </c>
      <c r="AH29" s="112">
        <f t="shared" ref="AH29:AM29" si="21">SUM(AH11:AH28)</f>
        <v>0</v>
      </c>
      <c r="AI29" s="111">
        <f t="shared" si="21"/>
        <v>0</v>
      </c>
      <c r="AJ29" s="112">
        <f t="shared" si="21"/>
        <v>0</v>
      </c>
      <c r="AK29" s="111">
        <f t="shared" si="21"/>
        <v>0</v>
      </c>
      <c r="AL29" s="112">
        <f t="shared" si="21"/>
        <v>7199992.71</v>
      </c>
      <c r="AM29" s="111">
        <f t="shared" si="21"/>
        <v>0</v>
      </c>
      <c r="AN29" s="112">
        <f t="shared" si="13"/>
        <v>0</v>
      </c>
      <c r="AO29" s="111">
        <f t="shared" si="13"/>
        <v>0</v>
      </c>
      <c r="AP29" s="112">
        <f t="shared" si="13"/>
        <v>18848699.989999998</v>
      </c>
      <c r="AQ29" s="111">
        <f t="shared" si="13"/>
        <v>13328033.359999999</v>
      </c>
      <c r="AR29" s="112">
        <f t="shared" si="13"/>
        <v>24211700</v>
      </c>
      <c r="AS29" s="111">
        <f t="shared" si="13"/>
        <v>9996648.7699999996</v>
      </c>
      <c r="AT29" s="112">
        <f t="shared" si="13"/>
        <v>227600</v>
      </c>
      <c r="AU29" s="111">
        <f t="shared" si="13"/>
        <v>0</v>
      </c>
      <c r="AV29" s="112">
        <f t="shared" ref="AV29:AW29" si="22">SUM(AV11:AV28)</f>
        <v>45360000</v>
      </c>
      <c r="AW29" s="111">
        <f t="shared" si="22"/>
        <v>3569892.9499999997</v>
      </c>
      <c r="AX29" s="112">
        <f t="shared" si="13"/>
        <v>261338000</v>
      </c>
      <c r="AY29" s="112">
        <f t="shared" si="13"/>
        <v>261338000</v>
      </c>
      <c r="AZ29" s="112">
        <f t="shared" ref="AZ29:BA29" si="23">SUM(AZ11:AZ28)</f>
        <v>0</v>
      </c>
      <c r="BA29" s="111">
        <f t="shared" si="23"/>
        <v>0</v>
      </c>
      <c r="BB29" s="112">
        <f>SUM(BB11:BB28)</f>
        <v>0</v>
      </c>
      <c r="BC29" s="111">
        <f>SUM(BC11:BC28)</f>
        <v>0</v>
      </c>
      <c r="BD29" s="112">
        <f t="shared" si="13"/>
        <v>0</v>
      </c>
      <c r="BE29" s="111">
        <f t="shared" si="13"/>
        <v>0</v>
      </c>
      <c r="BF29" s="112">
        <f t="shared" si="13"/>
        <v>99180000</v>
      </c>
      <c r="BG29" s="111">
        <f t="shared" si="13"/>
        <v>32392170.810000002</v>
      </c>
      <c r="BH29" s="112">
        <f t="shared" ref="BH29:BI29" si="24">SUM(BH11:BH28)</f>
        <v>20041800</v>
      </c>
      <c r="BI29" s="111">
        <f t="shared" si="24"/>
        <v>0</v>
      </c>
      <c r="BJ29" s="112">
        <f t="shared" ref="BJ29:BK29" si="25">SUM(BJ11:BJ28)</f>
        <v>83595200</v>
      </c>
      <c r="BK29" s="111">
        <f t="shared" si="25"/>
        <v>5235068.1599999992</v>
      </c>
      <c r="BL29" s="115">
        <f t="shared" ref="BL29:BM29" si="26">SUM(BL11:BL28)</f>
        <v>283076300</v>
      </c>
      <c r="BM29" s="111">
        <f t="shared" si="26"/>
        <v>12418836.18</v>
      </c>
      <c r="BN29" s="114">
        <f t="shared" ref="BN29:BO29" si="27">SUM(BN11:BN28)</f>
        <v>0</v>
      </c>
      <c r="BO29" s="114">
        <f t="shared" si="27"/>
        <v>0</v>
      </c>
      <c r="BP29" s="112">
        <f t="shared" ref="BP29:BQ29" si="28">SUM(BP11:BP28)</f>
        <v>9594700</v>
      </c>
      <c r="BQ29" s="112">
        <f t="shared" si="28"/>
        <v>0</v>
      </c>
      <c r="BR29" s="112">
        <f t="shared" ref="BR29:CK29" si="29">SUM(BR11:BR28)</f>
        <v>69511601</v>
      </c>
      <c r="BS29" s="111">
        <f t="shared" si="29"/>
        <v>37651040.43</v>
      </c>
      <c r="BT29" s="112">
        <f t="shared" si="29"/>
        <v>28803000</v>
      </c>
      <c r="BU29" s="111">
        <f t="shared" si="29"/>
        <v>12567161.530000001</v>
      </c>
      <c r="BV29" s="114">
        <f t="shared" si="29"/>
        <v>47200</v>
      </c>
      <c r="BW29" s="114">
        <f t="shared" si="29"/>
        <v>5184</v>
      </c>
      <c r="BX29" s="112">
        <f t="shared" si="29"/>
        <v>0</v>
      </c>
      <c r="BY29" s="111">
        <f t="shared" si="29"/>
        <v>0</v>
      </c>
      <c r="BZ29" s="463">
        <f t="shared" si="29"/>
        <v>2143401</v>
      </c>
      <c r="CA29" s="111">
        <f t="shared" si="29"/>
        <v>2022732</v>
      </c>
      <c r="CB29" s="463">
        <f>SUM(CB11:CB28)</f>
        <v>0</v>
      </c>
      <c r="CC29" s="111">
        <f>SUM(CC11:CC28)</f>
        <v>0</v>
      </c>
      <c r="CD29" s="112">
        <f t="shared" ref="CD29:CE29" si="30">SUM(CD11:CD28)</f>
        <v>0</v>
      </c>
      <c r="CE29" s="111">
        <f t="shared" si="30"/>
        <v>0</v>
      </c>
      <c r="CF29" s="112">
        <f t="shared" si="29"/>
        <v>38098000</v>
      </c>
      <c r="CG29" s="112">
        <f t="shared" si="29"/>
        <v>23055962.900000002</v>
      </c>
      <c r="CH29" s="112">
        <f t="shared" ref="CH29:CI29" si="31">SUM(CH11:CH28)</f>
        <v>420000</v>
      </c>
      <c r="CI29" s="111">
        <f t="shared" si="31"/>
        <v>0</v>
      </c>
      <c r="CJ29" s="112">
        <f t="shared" si="29"/>
        <v>105000000</v>
      </c>
      <c r="CK29" s="111">
        <f t="shared" si="29"/>
        <v>15749900</v>
      </c>
      <c r="CL29" s="115">
        <f t="shared" ref="CL29:CM29" si="32">SUM(CL11:CL28)</f>
        <v>0</v>
      </c>
      <c r="CM29" s="112">
        <f t="shared" si="32"/>
        <v>0</v>
      </c>
      <c r="CN29" s="112">
        <f t="shared" ref="CN29:CO29" si="33">SUM(CN11:CN28)</f>
        <v>0</v>
      </c>
      <c r="CO29" s="111">
        <f t="shared" si="33"/>
        <v>0</v>
      </c>
      <c r="CP29" s="116">
        <f t="shared" ref="CP29:CQ29" si="34">SUM(CP11:CP28)</f>
        <v>0</v>
      </c>
      <c r="CQ29" s="114">
        <f t="shared" si="34"/>
        <v>0</v>
      </c>
      <c r="CR29" s="115">
        <f t="shared" ref="CR29:CS29" si="35">SUM(CR11:CR28)</f>
        <v>15000000</v>
      </c>
      <c r="CS29" s="111">
        <f t="shared" si="35"/>
        <v>15000000</v>
      </c>
      <c r="CT29" s="112">
        <f t="shared" ref="CT29:CW29" si="36">SUM(CT11:CT28)</f>
        <v>0</v>
      </c>
      <c r="CU29" s="111">
        <f t="shared" si="36"/>
        <v>0</v>
      </c>
      <c r="CV29" s="112">
        <f t="shared" si="36"/>
        <v>90000000</v>
      </c>
      <c r="CW29" s="111">
        <f t="shared" si="36"/>
        <v>749900</v>
      </c>
      <c r="CX29" s="112">
        <f t="shared" ref="CX29:DA29" si="37">SUM(CX11:CX28)</f>
        <v>0</v>
      </c>
      <c r="CY29" s="111">
        <f t="shared" si="37"/>
        <v>0</v>
      </c>
      <c r="CZ29" s="112">
        <f t="shared" si="37"/>
        <v>0</v>
      </c>
      <c r="DA29" s="111">
        <f t="shared" si="37"/>
        <v>0</v>
      </c>
      <c r="DC29" s="1018">
        <f t="shared" si="9"/>
        <v>40708.601000000002</v>
      </c>
      <c r="DD29" s="1018">
        <f t="shared" si="10"/>
        <v>25083.8789</v>
      </c>
      <c r="DG29" s="1410">
        <f t="shared" si="4"/>
        <v>-1215968761.2</v>
      </c>
    </row>
    <row r="30" spans="1:111" ht="25.5" customHeight="1" x14ac:dyDescent="0.3">
      <c r="A30" s="105"/>
      <c r="B30" s="121"/>
      <c r="C30" s="120"/>
      <c r="D30" s="122"/>
      <c r="E30" s="120"/>
      <c r="F30" s="203"/>
      <c r="G30" s="120"/>
      <c r="H30" s="122"/>
      <c r="I30" s="120"/>
      <c r="J30" s="122"/>
      <c r="K30" s="120"/>
      <c r="L30" s="203"/>
      <c r="M30" s="119"/>
      <c r="N30" s="203"/>
      <c r="O30" s="119"/>
      <c r="P30" s="122"/>
      <c r="Q30" s="832"/>
      <c r="R30" s="203"/>
      <c r="S30" s="119"/>
      <c r="T30" s="122"/>
      <c r="U30" s="119"/>
      <c r="V30" s="203"/>
      <c r="W30" s="119"/>
      <c r="X30" s="203"/>
      <c r="Y30" s="119"/>
      <c r="Z30" s="203"/>
      <c r="AA30" s="119"/>
      <c r="AB30" s="203"/>
      <c r="AC30" s="119"/>
      <c r="AD30" s="203"/>
      <c r="AE30" s="119"/>
      <c r="AF30" s="203"/>
      <c r="AG30" s="119"/>
      <c r="AH30" s="203"/>
      <c r="AI30" s="119"/>
      <c r="AJ30" s="203"/>
      <c r="AK30" s="119"/>
      <c r="AL30" s="203"/>
      <c r="AM30" s="119"/>
      <c r="AN30" s="203"/>
      <c r="AO30" s="119"/>
      <c r="AP30" s="203"/>
      <c r="AQ30" s="119"/>
      <c r="AR30" s="203"/>
      <c r="AS30" s="119"/>
      <c r="AT30" s="700"/>
      <c r="AU30" s="117"/>
      <c r="AV30" s="203"/>
      <c r="AW30" s="119"/>
      <c r="AX30" s="203"/>
      <c r="AY30" s="832"/>
      <c r="AZ30" s="203"/>
      <c r="BA30" s="119"/>
      <c r="BB30" s="203"/>
      <c r="BC30" s="119"/>
      <c r="BD30" s="203"/>
      <c r="BE30" s="119"/>
      <c r="BF30" s="203"/>
      <c r="BG30" s="119"/>
      <c r="BH30" s="203"/>
      <c r="BI30" s="119"/>
      <c r="BJ30" s="203"/>
      <c r="BK30" s="119"/>
      <c r="BL30" s="203"/>
      <c r="BM30" s="119"/>
      <c r="BN30" s="120"/>
      <c r="BO30" s="119"/>
      <c r="BP30" s="203"/>
      <c r="BQ30" s="119"/>
      <c r="BR30" s="259"/>
      <c r="BS30" s="161"/>
      <c r="BT30" s="122"/>
      <c r="BU30" s="119"/>
      <c r="BV30" s="113"/>
      <c r="BW30" s="113"/>
      <c r="BX30" s="201"/>
      <c r="BY30" s="123"/>
      <c r="BZ30" s="464"/>
      <c r="CA30" s="123"/>
      <c r="CB30" s="464"/>
      <c r="CC30" s="123"/>
      <c r="CD30" s="203"/>
      <c r="CE30" s="120"/>
      <c r="CF30" s="203"/>
      <c r="CG30" s="203"/>
      <c r="CH30" s="203"/>
      <c r="CI30" s="203"/>
      <c r="CJ30" s="120"/>
      <c r="CK30" s="120"/>
      <c r="CL30" s="122"/>
      <c r="CM30" s="832"/>
      <c r="CN30" s="203"/>
      <c r="CO30" s="119"/>
      <c r="CP30" s="832"/>
      <c r="CQ30" s="119"/>
      <c r="CR30" s="122"/>
      <c r="CS30" s="119"/>
      <c r="CT30" s="203"/>
      <c r="CU30" s="119"/>
      <c r="CV30" s="203"/>
      <c r="CW30" s="119"/>
      <c r="CX30" s="203"/>
      <c r="CY30" s="119"/>
      <c r="CZ30" s="203"/>
      <c r="DA30" s="119"/>
      <c r="DC30" s="1018">
        <f t="shared" si="9"/>
        <v>0</v>
      </c>
      <c r="DD30" s="1018">
        <f t="shared" si="10"/>
        <v>0</v>
      </c>
      <c r="DG30" s="1410">
        <f t="shared" si="4"/>
        <v>0</v>
      </c>
    </row>
    <row r="31" spans="1:111" ht="25.5" customHeight="1" x14ac:dyDescent="0.3">
      <c r="A31" s="102" t="s">
        <v>5</v>
      </c>
      <c r="B31" s="103">
        <f>D31+BR31+CJ31</f>
        <v>439622280.81999999</v>
      </c>
      <c r="C31" s="101">
        <f>E31+BS31+CK31</f>
        <v>85784132.640000001</v>
      </c>
      <c r="D31" s="277">
        <f>N31+P31+AT31+AP31+BF31+H31+AX31+BP31+BB31+BD31+AN31+R31+AV31+L31+T31+Z31+BN31+V31+X31+AB31+AR31+AF31+J31+BJ31+BH31+BL31+AZ31+AH31+AD31+F31+AJ31+AL31</f>
        <v>80986480.820000008</v>
      </c>
      <c r="E31" s="277">
        <f>O31+Q31+AU31+AQ31+BG31+I31+AY31+BQ31+BC31+BE31+AO31+S31+AW31+M31+U31+AA31+BO31+W31+Y31+AC31+AS31+AG31+K31+BK31+BI31+BM31+BA31+AI31+AE31+G31+AK31+AM31</f>
        <v>25619423.129999995</v>
      </c>
      <c r="F31" s="103">
        <f>'План и исполнение'!CN32</f>
        <v>0</v>
      </c>
      <c r="G31" s="101">
        <f>'План и исполнение'!CP32</f>
        <v>0</v>
      </c>
      <c r="H31" s="104">
        <f>'План и исполнение'!CQ32+'План и исполнение'!CS32</f>
        <v>45164953.560000002</v>
      </c>
      <c r="I31" s="101">
        <f>'План и исполнение'!CR32+'План и исполнение'!CT32</f>
        <v>23051371.549999997</v>
      </c>
      <c r="J31" s="103">
        <f>'План и исполнение'!DI32</f>
        <v>0</v>
      </c>
      <c r="K31" s="101">
        <f>'План и исполнение'!DL32</f>
        <v>0</v>
      </c>
      <c r="L31" s="103">
        <f>'План и исполнение'!DP32</f>
        <v>0</v>
      </c>
      <c r="M31" s="101">
        <f>'План и исполнение'!DX32</f>
        <v>0</v>
      </c>
      <c r="N31" s="103">
        <f>'План и исполнение'!DR32</f>
        <v>0</v>
      </c>
      <c r="O31" s="101">
        <f>'План и исполнение'!DZ32</f>
        <v>0</v>
      </c>
      <c r="P31" s="104">
        <f>'План и исполнение'!EE32</f>
        <v>0</v>
      </c>
      <c r="Q31" s="103">
        <f>'План и исполнение'!EH32</f>
        <v>0</v>
      </c>
      <c r="R31" s="103">
        <f>'План и исполнение'!EK32</f>
        <v>0</v>
      </c>
      <c r="S31" s="101">
        <f>'План и исполнение'!EP32</f>
        <v>0</v>
      </c>
      <c r="T31" s="103">
        <f>'План и исполнение'!EM32</f>
        <v>0</v>
      </c>
      <c r="U31" s="101">
        <f>'План и исполнение'!ER32</f>
        <v>0</v>
      </c>
      <c r="V31" s="103">
        <f>'План и исполнение'!EU32</f>
        <v>0</v>
      </c>
      <c r="W31" s="101">
        <f>'План и исполнение'!EX32</f>
        <v>0</v>
      </c>
      <c r="X31" s="103">
        <f>'План и исполнение'!FA32</f>
        <v>0</v>
      </c>
      <c r="Y31" s="101">
        <f>'План и исполнение'!FD32</f>
        <v>0</v>
      </c>
      <c r="Z31" s="103">
        <f>'План и исполнение'!FG32</f>
        <v>0</v>
      </c>
      <c r="AA31" s="101">
        <f>'План и исполнение'!FJ32</f>
        <v>0</v>
      </c>
      <c r="AB31" s="103">
        <f>'План и исполнение'!FM32+'План и исполнение'!FS32</f>
        <v>0</v>
      </c>
      <c r="AC31" s="101">
        <f>'План и исполнение'!FP32+'План и исполнение'!FV32</f>
        <v>0</v>
      </c>
      <c r="AD31" s="103">
        <f>'План и исполнение'!GC32</f>
        <v>0</v>
      </c>
      <c r="AE31" s="101">
        <f>'План и исполнение'!GF32</f>
        <v>0</v>
      </c>
      <c r="AF31" s="103">
        <f>'План и исполнение'!GK32+'План и исполнение'!GU32</f>
        <v>1181027.26</v>
      </c>
      <c r="AG31" s="101">
        <f>'План и исполнение'!GP32+'План и исполнение'!GZ32</f>
        <v>0</v>
      </c>
      <c r="AH31" s="103">
        <f>'План и исполнение'!GI32+'План и исполнение'!GS32</f>
        <v>0</v>
      </c>
      <c r="AI31" s="101">
        <f>'План и исполнение'!GX32+'План и исполнение'!GN32</f>
        <v>0</v>
      </c>
      <c r="AJ31" s="103">
        <f>'План и исполнение'!HW32</f>
        <v>0</v>
      </c>
      <c r="AK31" s="101">
        <f>'План и исполнение'!HZ32</f>
        <v>0</v>
      </c>
      <c r="AL31" s="103">
        <f>'План и исполнение'!IC32</f>
        <v>0</v>
      </c>
      <c r="AM31" s="101">
        <f>'План и исполнение'!IF32</f>
        <v>0</v>
      </c>
      <c r="AN31" s="103">
        <f>'План и исполнение'!II32</f>
        <v>4084000</v>
      </c>
      <c r="AO31" s="101">
        <f>'План и исполнение'!IL32</f>
        <v>2568051.58</v>
      </c>
      <c r="AP31" s="103">
        <f>'План и исполнение'!IO32+'План и исполнение'!IU32</f>
        <v>0</v>
      </c>
      <c r="AQ31" s="101">
        <f>'План и исполнение'!IR32+'План и исполнение'!IX32</f>
        <v>0</v>
      </c>
      <c r="AR31" s="103">
        <f>'План и исполнение'!JM32</f>
        <v>0</v>
      </c>
      <c r="AS31" s="101">
        <f>'План и исполнение'!JP32</f>
        <v>0</v>
      </c>
      <c r="AT31" s="103">
        <f>'План и исполнение'!JU32+'План и исполнение'!KE32</f>
        <v>0</v>
      </c>
      <c r="AU31" s="101">
        <f>'План и исполнение'!KJ32+'План и исполнение'!JZ32</f>
        <v>0</v>
      </c>
      <c r="AV31" s="103">
        <f>'План и исполнение'!JS32+'План и исполнение'!KC32</f>
        <v>0</v>
      </c>
      <c r="AW31" s="101">
        <f>'План и исполнение'!KH32+'План и исполнение'!JX32</f>
        <v>0</v>
      </c>
      <c r="AX31" s="103">
        <f>'План и исполнение'!LG32</f>
        <v>0</v>
      </c>
      <c r="AY31" s="103">
        <f>'План и исполнение'!LM32</f>
        <v>0</v>
      </c>
      <c r="AZ31" s="103">
        <f>'План и исполнение'!LI32</f>
        <v>0</v>
      </c>
      <c r="BA31" s="101">
        <f>'План и исполнение'!LO32</f>
        <v>0</v>
      </c>
      <c r="BB31" s="103">
        <f>'План и исполнение'!LU32</f>
        <v>0</v>
      </c>
      <c r="BC31" s="101">
        <f>'План и исполнение'!LZ32</f>
        <v>0</v>
      </c>
      <c r="BD31" s="103">
        <f>'План и исполнение'!MD32</f>
        <v>0</v>
      </c>
      <c r="BE31" s="101">
        <f>'План и исполнение'!MH32</f>
        <v>0</v>
      </c>
      <c r="BF31" s="103">
        <f>'План и исполнение'!MO32+'План и исполнение'!MW32</f>
        <v>30556500</v>
      </c>
      <c r="BG31" s="101">
        <f>'План и исполнение'!MS32+'План и исполнение'!NA32</f>
        <v>0</v>
      </c>
      <c r="BH31" s="103">
        <f>'План и исполнение'!OA32</f>
        <v>0</v>
      </c>
      <c r="BI31" s="101">
        <f>'План и исполнение'!OH32</f>
        <v>0</v>
      </c>
      <c r="BJ31" s="103">
        <f>'План и исполнение'!OC32</f>
        <v>0</v>
      </c>
      <c r="BK31" s="101">
        <f>'План и исполнение'!OJ32</f>
        <v>0</v>
      </c>
      <c r="BL31" s="103">
        <f>'План и исполнение'!OE32+'План и исполнение'!NU32</f>
        <v>0</v>
      </c>
      <c r="BM31" s="101">
        <f>'План и исполнение'!OL32+'План и исполнение'!NX32</f>
        <v>0</v>
      </c>
      <c r="BN31" s="101">
        <f>'План и исполнение'!PQ32</f>
        <v>0</v>
      </c>
      <c r="BO31" s="101">
        <f>'План и исполнение'!PT32</f>
        <v>0</v>
      </c>
      <c r="BP31" s="103">
        <f>'План и исполнение'!PW32+'План и исполнение'!QC32</f>
        <v>0</v>
      </c>
      <c r="BQ31" s="101">
        <f>'План и исполнение'!PZ32+'План и исполнение'!QF32</f>
        <v>0</v>
      </c>
      <c r="BR31" s="103">
        <f t="shared" ref="BR31:BR32" si="38">CF31+BT31+BZ31+BV31+BX31+CB31+CD31+CH31</f>
        <v>4135800</v>
      </c>
      <c r="BS31" s="101">
        <f t="shared" ref="BS31:BS32" si="39">CG31+BU31+CA31+BW31+BY31+CC31+CE31+CI31</f>
        <v>2061052.84</v>
      </c>
      <c r="BT31" s="104">
        <f>'План и исполнение'!RM32</f>
        <v>0</v>
      </c>
      <c r="BU31" s="101">
        <f>'План и исполнение'!RN32</f>
        <v>0</v>
      </c>
      <c r="BV31" s="100">
        <f>'План и исполнение'!RO32</f>
        <v>15800</v>
      </c>
      <c r="BW31" s="100">
        <f>'План и исполнение'!RP32</f>
        <v>0</v>
      </c>
      <c r="BX31" s="279">
        <f>'План и исполнение'!RQ32</f>
        <v>0</v>
      </c>
      <c r="BY31" s="168">
        <f>'План и исполнение'!RR32</f>
        <v>0</v>
      </c>
      <c r="BZ31" s="465">
        <f>'План и исполнение'!RS32</f>
        <v>0</v>
      </c>
      <c r="CA31" s="168">
        <f>'План и исполнение'!RT32</f>
        <v>0</v>
      </c>
      <c r="CB31" s="465">
        <f>'План и исполнение'!RU32</f>
        <v>0</v>
      </c>
      <c r="CC31" s="168">
        <f>'План и исполнение'!RV32</f>
        <v>0</v>
      </c>
      <c r="CD31" s="103">
        <f>'План и исполнение'!RW32</f>
        <v>0</v>
      </c>
      <c r="CE31" s="101">
        <f>'План и исполнение'!RX32</f>
        <v>0</v>
      </c>
      <c r="CF31" s="103">
        <f>'План и исполнение'!SB32</f>
        <v>3800000</v>
      </c>
      <c r="CG31" s="103">
        <f>'План и исполнение'!SF32</f>
        <v>2061052.84</v>
      </c>
      <c r="CH31" s="103">
        <f>'План и исполнение'!SA32</f>
        <v>320000</v>
      </c>
      <c r="CI31" s="101">
        <f>'План и исполнение'!SE32</f>
        <v>0</v>
      </c>
      <c r="CJ31" s="103">
        <f t="shared" ref="CJ31:CJ32" si="40">CL31+CR31+CX31+CZ31+CP31+CT31+CV31+CN31</f>
        <v>354500000</v>
      </c>
      <c r="CK31" s="101">
        <f t="shared" ref="CK31:CK32" si="41">CM31+CS31+CY31+DA31+CQ31+CU31+CW31+CO31</f>
        <v>58103656.670000002</v>
      </c>
      <c r="CL31" s="104">
        <f>'План и исполнение'!VC32</f>
        <v>0</v>
      </c>
      <c r="CM31" s="103">
        <f>'План и исполнение'!VG32</f>
        <v>0</v>
      </c>
      <c r="CN31" s="103">
        <f>'План и исполнение'!SK32</f>
        <v>0</v>
      </c>
      <c r="CO31" s="101">
        <f>'План и исполнение'!SN32</f>
        <v>0</v>
      </c>
      <c r="CP31" s="103">
        <f>'План и исполнение'!SP32+'План и исполнение'!ST32</f>
        <v>240000000</v>
      </c>
      <c r="CQ31" s="101">
        <f>'План и исполнение'!SR32+'План и исполнение'!SV32</f>
        <v>39903656.670000002</v>
      </c>
      <c r="CR31" s="104">
        <f>'План и исполнение'!TB32+'План и исполнение'!TF32</f>
        <v>70000000</v>
      </c>
      <c r="CS31" s="101">
        <f>'План и исполнение'!TD32+'План и исполнение'!TH32</f>
        <v>18200000</v>
      </c>
      <c r="CT31" s="103">
        <f>'План и исполнение'!TN32+'План и исполнение'!TR32</f>
        <v>0</v>
      </c>
      <c r="CU31" s="101">
        <f>'План и исполнение'!TP32+'План и исполнение'!TT32</f>
        <v>0</v>
      </c>
      <c r="CV31" s="103">
        <f>'План и исполнение'!UG32+'План и исполнение'!UA32</f>
        <v>44500000</v>
      </c>
      <c r="CW31" s="101">
        <f>'План и исполнение'!UJ32+'План и исполнение'!UD32</f>
        <v>0</v>
      </c>
      <c r="CX31" s="103">
        <f>'План и исполнение'!UQ32</f>
        <v>0</v>
      </c>
      <c r="CY31" s="101">
        <f>'План и исполнение'!UT32</f>
        <v>0</v>
      </c>
      <c r="CZ31" s="103">
        <f>'План и исполнение'!UW32</f>
        <v>0</v>
      </c>
      <c r="DA31" s="101">
        <f>'План и исполнение'!UZ32</f>
        <v>0</v>
      </c>
      <c r="DC31" s="1018">
        <f t="shared" si="9"/>
        <v>4135.8</v>
      </c>
      <c r="DD31" s="1018">
        <f t="shared" si="10"/>
        <v>2061.0528400000003</v>
      </c>
      <c r="DG31" s="1410">
        <f t="shared" si="4"/>
        <v>-80986480.820000008</v>
      </c>
    </row>
    <row r="32" spans="1:111" ht="25.5" customHeight="1" thickBot="1" x14ac:dyDescent="0.35">
      <c r="A32" s="105" t="s">
        <v>6</v>
      </c>
      <c r="B32" s="103">
        <f>D32+BR32+CJ32</f>
        <v>2828236063.8199997</v>
      </c>
      <c r="C32" s="101">
        <f>E32+BS32+CK32</f>
        <v>798618823.31000006</v>
      </c>
      <c r="D32" s="277">
        <f>N32+P32+AT32+AP32+BF32+H32+AX32+BP32+BB32+BD32+AN32+R32+AV32+L32+T32+Z32+BN32+V32+X32+AB32+AR32+AF32+J32+BJ32+BH32+BL32+AZ32+AH32+AD32+F32+AJ32+AL32</f>
        <v>1881582207.8199999</v>
      </c>
      <c r="E32" s="277">
        <f>O32+Q32+AU32+AQ32+BG32+I32+AY32+BQ32+BC32+BE32+AO32+S32+AW32+M32+U32+AA32+BO32+W32+Y32+AC32+AS32+AG32+K32+BK32+BI32+BM32+BA32+AI32+AE32+G32+AK32+AM32</f>
        <v>654998779.33000004</v>
      </c>
      <c r="F32" s="103">
        <f>'План и исполнение'!CN33</f>
        <v>711188.46</v>
      </c>
      <c r="G32" s="101">
        <f>'План и исполнение'!CP33</f>
        <v>711188.46</v>
      </c>
      <c r="H32" s="104">
        <f>'План и исполнение'!CQ33+'План и исполнение'!CS33</f>
        <v>354949672.07999998</v>
      </c>
      <c r="I32" s="101">
        <f>'План и исполнение'!CR33+'План и исполнение'!CT33</f>
        <v>234391124.45000002</v>
      </c>
      <c r="J32" s="103">
        <f>'План и исполнение'!DI33</f>
        <v>611225000</v>
      </c>
      <c r="K32" s="101">
        <f>'План и исполнение'!DL33</f>
        <v>132242687.39</v>
      </c>
      <c r="L32" s="103">
        <f>'План и исполнение'!DP33</f>
        <v>0</v>
      </c>
      <c r="M32" s="101">
        <f>'План и исполнение'!DX33</f>
        <v>0</v>
      </c>
      <c r="N32" s="103">
        <f>'План и исполнение'!DR33</f>
        <v>0</v>
      </c>
      <c r="O32" s="101">
        <f>'План и исполнение'!DZ33</f>
        <v>0</v>
      </c>
      <c r="P32" s="104">
        <f>'План и исполнение'!EE33</f>
        <v>0</v>
      </c>
      <c r="Q32" s="103">
        <f>'План и исполнение'!EH33</f>
        <v>0</v>
      </c>
      <c r="R32" s="103">
        <f>'План и исполнение'!EK33</f>
        <v>0</v>
      </c>
      <c r="S32" s="101">
        <f>'План и исполнение'!EP33</f>
        <v>0</v>
      </c>
      <c r="T32" s="103">
        <f>'План и исполнение'!EM33</f>
        <v>0</v>
      </c>
      <c r="U32" s="101">
        <f>'План и исполнение'!ER33</f>
        <v>0</v>
      </c>
      <c r="V32" s="103">
        <f>'План и исполнение'!EU33</f>
        <v>25000000</v>
      </c>
      <c r="W32" s="101">
        <f>'План и исполнение'!EX33</f>
        <v>1371134.02</v>
      </c>
      <c r="X32" s="103">
        <f>'План и исполнение'!FA33</f>
        <v>0</v>
      </c>
      <c r="Y32" s="101">
        <f>'План и исполнение'!FD33</f>
        <v>0</v>
      </c>
      <c r="Z32" s="103">
        <f>'План и исполнение'!FG33</f>
        <v>454752300</v>
      </c>
      <c r="AA32" s="101">
        <f>'План и исполнение'!FJ33</f>
        <v>145774205.91999999</v>
      </c>
      <c r="AB32" s="103">
        <f>'План и исполнение'!FM33+'План и исполнение'!FS33</f>
        <v>0</v>
      </c>
      <c r="AC32" s="101">
        <f>'План и исполнение'!FP33+'План и исполнение'!FV33</f>
        <v>0</v>
      </c>
      <c r="AD32" s="103">
        <f>'План и исполнение'!GC33</f>
        <v>0</v>
      </c>
      <c r="AE32" s="101">
        <f>'План и исполнение'!GF33</f>
        <v>0</v>
      </c>
      <c r="AF32" s="103">
        <f>'План и исполнение'!GK33+'План и исполнение'!GU33</f>
        <v>119939.99</v>
      </c>
      <c r="AG32" s="101">
        <f>'План и исполнение'!GP33+'План и исполнение'!GZ33</f>
        <v>113828.16</v>
      </c>
      <c r="AH32" s="103">
        <f>'План и исполнение'!GI33+'План и исполнение'!GS33</f>
        <v>0</v>
      </c>
      <c r="AI32" s="101">
        <f>'План и исполнение'!GX33+'План и исполнение'!GN33</f>
        <v>0</v>
      </c>
      <c r="AJ32" s="103">
        <f>'План и исполнение'!HW33</f>
        <v>0</v>
      </c>
      <c r="AK32" s="101">
        <f>'План и исполнение'!HZ33</f>
        <v>0</v>
      </c>
      <c r="AL32" s="103">
        <f>'План и исполнение'!IC33</f>
        <v>24426407.289999999</v>
      </c>
      <c r="AM32" s="101">
        <f>'План и исполнение'!IF33</f>
        <v>0</v>
      </c>
      <c r="AN32" s="108">
        <f>'План и исполнение'!II33</f>
        <v>0</v>
      </c>
      <c r="AO32" s="107">
        <f>'План и исполнение'!IL33</f>
        <v>0</v>
      </c>
      <c r="AP32" s="103">
        <f>'План и исполнение'!IO33+'План и исполнение'!IU33</f>
        <v>0</v>
      </c>
      <c r="AQ32" s="101">
        <f>'План и исполнение'!IR33+'План и исполнение'!IX33</f>
        <v>0</v>
      </c>
      <c r="AR32" s="103">
        <f>'План и исполнение'!JM33</f>
        <v>0</v>
      </c>
      <c r="AS32" s="101">
        <f>'План и исполнение'!JP33</f>
        <v>0</v>
      </c>
      <c r="AT32" s="699">
        <f>'План и исполнение'!JU33+'План и исполнение'!KE33</f>
        <v>0</v>
      </c>
      <c r="AU32" s="277">
        <f>'План и исполнение'!KJ33+'План и исполнение'!JZ33</f>
        <v>0</v>
      </c>
      <c r="AV32" s="103">
        <f>'План и исполнение'!JS33+'План и исполнение'!KC33</f>
        <v>0</v>
      </c>
      <c r="AW32" s="101">
        <f>'План и исполнение'!KH33+'План и исполнение'!JX33</f>
        <v>0</v>
      </c>
      <c r="AX32" s="103">
        <f>'План и исполнение'!LG33</f>
        <v>73194500</v>
      </c>
      <c r="AY32" s="103">
        <f>'План и исполнение'!LM33</f>
        <v>73194500</v>
      </c>
      <c r="AZ32" s="103">
        <f>'План и исполнение'!LI33</f>
        <v>35042600</v>
      </c>
      <c r="BA32" s="101">
        <f>'План и исполнение'!LO33</f>
        <v>9063599.5299999993</v>
      </c>
      <c r="BB32" s="103">
        <f>'План и исполнение'!LU33</f>
        <v>0</v>
      </c>
      <c r="BC32" s="101">
        <f>'План и исполнение'!LZ33</f>
        <v>0</v>
      </c>
      <c r="BD32" s="103">
        <f>'План и исполнение'!MD33</f>
        <v>0</v>
      </c>
      <c r="BE32" s="101">
        <f>'План и исполнение'!MH33</f>
        <v>0</v>
      </c>
      <c r="BF32" s="103">
        <f>'План и исполнение'!MO33+'План и исполнение'!MW33</f>
        <v>190000000</v>
      </c>
      <c r="BG32" s="101">
        <f>'План и исполнение'!MS33+'План и исполнение'!NA33</f>
        <v>25941651.77</v>
      </c>
      <c r="BH32" s="103">
        <f>'План и исполнение'!OA33</f>
        <v>0</v>
      </c>
      <c r="BI32" s="101">
        <f>'План и исполнение'!OH33</f>
        <v>0</v>
      </c>
      <c r="BJ32" s="103">
        <f>'План и исполнение'!OC33</f>
        <v>0</v>
      </c>
      <c r="BK32" s="101">
        <f>'План и исполнение'!OJ33</f>
        <v>0</v>
      </c>
      <c r="BL32" s="103">
        <f>'План и исполнение'!OE33+'План и исполнение'!NU33</f>
        <v>0</v>
      </c>
      <c r="BM32" s="101">
        <f>'План и исполнение'!OL33+'План и исполнение'!NX33</f>
        <v>0</v>
      </c>
      <c r="BN32" s="101">
        <f>'План и исполнение'!PQ33</f>
        <v>112160600</v>
      </c>
      <c r="BO32" s="101">
        <f>'План и исполнение'!PT33</f>
        <v>32194859.629999999</v>
      </c>
      <c r="BP32" s="103">
        <f>'План и исполнение'!PW33+'План и исполнение'!QC33</f>
        <v>0</v>
      </c>
      <c r="BQ32" s="101">
        <f>'План и исполнение'!PZ33+'План и исполнение'!QF33</f>
        <v>0</v>
      </c>
      <c r="BR32" s="103">
        <f t="shared" si="38"/>
        <v>39566399</v>
      </c>
      <c r="BS32" s="101">
        <f t="shared" si="39"/>
        <v>24323490.009999998</v>
      </c>
      <c r="BT32" s="104">
        <f>'План и исполнение'!RM33</f>
        <v>0</v>
      </c>
      <c r="BU32" s="101">
        <f>'План и исполнение'!RN33</f>
        <v>0</v>
      </c>
      <c r="BV32" s="100">
        <f>'План и исполнение'!RO33</f>
        <v>80000</v>
      </c>
      <c r="BW32" s="100">
        <f>'План и исполнение'!RP33</f>
        <v>0</v>
      </c>
      <c r="BX32" s="279">
        <f>'План и исполнение'!RQ33</f>
        <v>0</v>
      </c>
      <c r="BY32" s="168">
        <f>'План и исполнение'!RR33</f>
        <v>0</v>
      </c>
      <c r="BZ32" s="465">
        <f>'План и исполнение'!RS33</f>
        <v>6430199.0000000009</v>
      </c>
      <c r="CA32" s="168">
        <f>'План и исполнение'!RT33</f>
        <v>6068196</v>
      </c>
      <c r="CB32" s="465">
        <f>'План и исполнение'!RU33</f>
        <v>11813200</v>
      </c>
      <c r="CC32" s="168">
        <f>'План и исполнение'!RV33</f>
        <v>11462148</v>
      </c>
      <c r="CD32" s="103">
        <f>'План и исполнение'!RW33</f>
        <v>0</v>
      </c>
      <c r="CE32" s="101">
        <f>'План и исполнение'!RX33</f>
        <v>0</v>
      </c>
      <c r="CF32" s="103">
        <f>'План и исполнение'!SB33</f>
        <v>21143000</v>
      </c>
      <c r="CG32" s="103">
        <f>'План и исполнение'!SF33</f>
        <v>6793146.0099999998</v>
      </c>
      <c r="CH32" s="103">
        <f>'План и исполнение'!SA33</f>
        <v>100000</v>
      </c>
      <c r="CI32" s="101">
        <f>'План и исполнение'!SE33</f>
        <v>0</v>
      </c>
      <c r="CJ32" s="103">
        <f t="shared" si="40"/>
        <v>907087457</v>
      </c>
      <c r="CK32" s="101">
        <f t="shared" si="41"/>
        <v>119296553.97000001</v>
      </c>
      <c r="CL32" s="104">
        <f>'План и исполнение'!VC33</f>
        <v>0</v>
      </c>
      <c r="CM32" s="103">
        <f>'План и исполнение'!VG33</f>
        <v>0</v>
      </c>
      <c r="CN32" s="103">
        <f>'План и исполнение'!SK33</f>
        <v>0</v>
      </c>
      <c r="CO32" s="101">
        <f>'План и исполнение'!SN33</f>
        <v>0</v>
      </c>
      <c r="CP32" s="108">
        <f>'План и исполнение'!SP33+'План и исполнение'!ST33</f>
        <v>0</v>
      </c>
      <c r="CQ32" s="107">
        <f>'План и исполнение'!SR33+'План и исполнение'!SV33</f>
        <v>0</v>
      </c>
      <c r="CR32" s="104">
        <f>'План и исполнение'!TB33+'План и исполнение'!TF33</f>
        <v>776087457</v>
      </c>
      <c r="CS32" s="101">
        <f>'План и исполнение'!TD33+'План и исполнение'!TH33</f>
        <v>114419797.41000001</v>
      </c>
      <c r="CT32" s="103">
        <f>'План и исполнение'!TN33+'План и исполнение'!TR33</f>
        <v>120000000</v>
      </c>
      <c r="CU32" s="101">
        <f>'План и исполнение'!TP33+'План и исполнение'!TT33</f>
        <v>0</v>
      </c>
      <c r="CV32" s="103">
        <f>'План и исполнение'!UG33+'План и исполнение'!UA33</f>
        <v>0</v>
      </c>
      <c r="CW32" s="101">
        <f>'План и исполнение'!UJ33+'План и исполнение'!UD33</f>
        <v>0</v>
      </c>
      <c r="CX32" s="103">
        <f>'План и исполнение'!UQ33</f>
        <v>1000000</v>
      </c>
      <c r="CY32" s="101">
        <f>'План и исполнение'!UT33</f>
        <v>1000000</v>
      </c>
      <c r="CZ32" s="103">
        <f>'План и исполнение'!UW33</f>
        <v>10000000</v>
      </c>
      <c r="DA32" s="101">
        <f>'План и исполнение'!UZ33</f>
        <v>3876756.56</v>
      </c>
      <c r="DC32" s="1018">
        <f t="shared" si="9"/>
        <v>39566.398999999998</v>
      </c>
      <c r="DD32" s="1018">
        <f t="shared" si="10"/>
        <v>24323.490009999998</v>
      </c>
      <c r="DG32" s="1410">
        <f t="shared" si="4"/>
        <v>-1881582207.8199999</v>
      </c>
    </row>
    <row r="33" spans="1:111" ht="25.5" customHeight="1" thickBot="1" x14ac:dyDescent="0.35">
      <c r="A33" s="160" t="s">
        <v>7</v>
      </c>
      <c r="B33" s="116">
        <f t="shared" ref="B33:E33" si="42">SUM(B31:B32)</f>
        <v>3267858344.6399999</v>
      </c>
      <c r="C33" s="114">
        <f t="shared" si="42"/>
        <v>884402955.95000005</v>
      </c>
      <c r="D33" s="118">
        <f t="shared" si="42"/>
        <v>1962568688.6399999</v>
      </c>
      <c r="E33" s="114">
        <f t="shared" si="42"/>
        <v>680618202.46000004</v>
      </c>
      <c r="F33" s="116">
        <f t="shared" ref="F33:G33" si="43">SUM(F31:F32)</f>
        <v>711188.46</v>
      </c>
      <c r="G33" s="114">
        <f t="shared" si="43"/>
        <v>711188.46</v>
      </c>
      <c r="H33" s="124">
        <f t="shared" ref="H33:BG33" si="44">SUM(H31:H32)</f>
        <v>400114625.63999999</v>
      </c>
      <c r="I33" s="117">
        <f t="shared" si="44"/>
        <v>257442496</v>
      </c>
      <c r="J33" s="124">
        <f t="shared" ref="J33:K33" si="45">SUM(J31:J32)</f>
        <v>611225000</v>
      </c>
      <c r="K33" s="117">
        <f t="shared" si="45"/>
        <v>132242687.39</v>
      </c>
      <c r="L33" s="116">
        <f t="shared" ref="L33:M33" si="46">SUM(L31:L32)</f>
        <v>0</v>
      </c>
      <c r="M33" s="114">
        <f t="shared" si="46"/>
        <v>0</v>
      </c>
      <c r="N33" s="116">
        <f t="shared" si="44"/>
        <v>0</v>
      </c>
      <c r="O33" s="117">
        <f t="shared" si="44"/>
        <v>0</v>
      </c>
      <c r="P33" s="118">
        <f>SUM(P31:P32)</f>
        <v>0</v>
      </c>
      <c r="Q33" s="831">
        <f>SUM(Q31:Q32)</f>
        <v>0</v>
      </c>
      <c r="R33" s="116">
        <f t="shared" ref="R33:S33" si="47">SUM(R31:R32)</f>
        <v>0</v>
      </c>
      <c r="S33" s="114">
        <f t="shared" si="47"/>
        <v>0</v>
      </c>
      <c r="T33" s="118">
        <f>SUM(T31:T32)</f>
        <v>0</v>
      </c>
      <c r="U33" s="114">
        <f>SUM(U31:U32)</f>
        <v>0</v>
      </c>
      <c r="V33" s="116">
        <f>SUM(V31:V32)</f>
        <v>25000000</v>
      </c>
      <c r="W33" s="114">
        <f>SUM(W31:W32)</f>
        <v>1371134.02</v>
      </c>
      <c r="X33" s="116">
        <f t="shared" ref="X33:Y33" si="48">SUM(X31:X32)</f>
        <v>0</v>
      </c>
      <c r="Y33" s="114">
        <f t="shared" si="48"/>
        <v>0</v>
      </c>
      <c r="Z33" s="116">
        <f t="shared" ref="Z33:AA33" si="49">SUM(Z31:Z32)</f>
        <v>454752300</v>
      </c>
      <c r="AA33" s="117">
        <f t="shared" si="49"/>
        <v>145774205.91999999</v>
      </c>
      <c r="AB33" s="116">
        <f t="shared" ref="AB33:AG33" si="50">SUM(AB31:AB32)</f>
        <v>0</v>
      </c>
      <c r="AC33" s="114">
        <f t="shared" si="50"/>
        <v>0</v>
      </c>
      <c r="AD33" s="116">
        <f t="shared" ref="AD33:AE33" si="51">SUM(AD31:AD32)</f>
        <v>0</v>
      </c>
      <c r="AE33" s="114">
        <f t="shared" si="51"/>
        <v>0</v>
      </c>
      <c r="AF33" s="116">
        <f t="shared" si="50"/>
        <v>1300967.25</v>
      </c>
      <c r="AG33" s="114">
        <f t="shared" si="50"/>
        <v>113828.16</v>
      </c>
      <c r="AH33" s="116">
        <f t="shared" ref="AH33:AM33" si="52">SUM(AH31:AH32)</f>
        <v>0</v>
      </c>
      <c r="AI33" s="114">
        <f t="shared" si="52"/>
        <v>0</v>
      </c>
      <c r="AJ33" s="116">
        <f t="shared" si="52"/>
        <v>0</v>
      </c>
      <c r="AK33" s="114">
        <f t="shared" si="52"/>
        <v>0</v>
      </c>
      <c r="AL33" s="116">
        <f t="shared" si="52"/>
        <v>24426407.289999999</v>
      </c>
      <c r="AM33" s="114">
        <f t="shared" si="52"/>
        <v>0</v>
      </c>
      <c r="AN33" s="116">
        <f t="shared" si="44"/>
        <v>4084000</v>
      </c>
      <c r="AO33" s="114">
        <f t="shared" si="44"/>
        <v>2568051.58</v>
      </c>
      <c r="AP33" s="116">
        <f t="shared" si="44"/>
        <v>0</v>
      </c>
      <c r="AQ33" s="114">
        <f t="shared" si="44"/>
        <v>0</v>
      </c>
      <c r="AR33" s="116">
        <f t="shared" si="44"/>
        <v>0</v>
      </c>
      <c r="AS33" s="114">
        <f t="shared" si="44"/>
        <v>0</v>
      </c>
      <c r="AT33" s="116">
        <f t="shared" si="44"/>
        <v>0</v>
      </c>
      <c r="AU33" s="117">
        <f t="shared" si="44"/>
        <v>0</v>
      </c>
      <c r="AV33" s="116">
        <f t="shared" ref="AV33:AW33" si="53">SUM(AV31:AV32)</f>
        <v>0</v>
      </c>
      <c r="AW33" s="114">
        <f t="shared" si="53"/>
        <v>0</v>
      </c>
      <c r="AX33" s="116">
        <f t="shared" si="44"/>
        <v>73194500</v>
      </c>
      <c r="AY33" s="831">
        <f t="shared" si="44"/>
        <v>73194500</v>
      </c>
      <c r="AZ33" s="116">
        <f t="shared" ref="AZ33:BA33" si="54">SUM(AZ31:AZ32)</f>
        <v>35042600</v>
      </c>
      <c r="BA33" s="117">
        <f t="shared" si="54"/>
        <v>9063599.5299999993</v>
      </c>
      <c r="BB33" s="116">
        <f>SUM(BB31:BB32)</f>
        <v>0</v>
      </c>
      <c r="BC33" s="114">
        <f>SUM(BC31:BC32)</f>
        <v>0</v>
      </c>
      <c r="BD33" s="116">
        <f t="shared" si="44"/>
        <v>0</v>
      </c>
      <c r="BE33" s="117">
        <f t="shared" si="44"/>
        <v>0</v>
      </c>
      <c r="BF33" s="116">
        <f t="shared" si="44"/>
        <v>220556500</v>
      </c>
      <c r="BG33" s="117">
        <f t="shared" si="44"/>
        <v>25941651.77</v>
      </c>
      <c r="BH33" s="116">
        <f t="shared" ref="BH33:BI33" si="55">SUM(BH31:BH32)</f>
        <v>0</v>
      </c>
      <c r="BI33" s="114">
        <f t="shared" si="55"/>
        <v>0</v>
      </c>
      <c r="BJ33" s="116">
        <f t="shared" ref="BJ33:BK33" si="56">SUM(BJ31:BJ32)</f>
        <v>0</v>
      </c>
      <c r="BK33" s="114">
        <f t="shared" si="56"/>
        <v>0</v>
      </c>
      <c r="BL33" s="116">
        <f t="shared" ref="BL33:BM33" si="57">SUM(BL31:BL32)</f>
        <v>0</v>
      </c>
      <c r="BM33" s="114">
        <f t="shared" si="57"/>
        <v>0</v>
      </c>
      <c r="BN33" s="114">
        <f t="shared" ref="BN33:BO33" si="58">SUM(BN31:BN32)</f>
        <v>112160600</v>
      </c>
      <c r="BO33" s="114">
        <f t="shared" si="58"/>
        <v>32194859.629999999</v>
      </c>
      <c r="BP33" s="116">
        <f t="shared" ref="BP33:BQ33" si="59">SUM(BP31:BP32)</f>
        <v>0</v>
      </c>
      <c r="BQ33" s="114">
        <f t="shared" si="59"/>
        <v>0</v>
      </c>
      <c r="BR33" s="116">
        <f t="shared" ref="BR33:CG33" si="60">SUM(BR31:BR32)</f>
        <v>43702199</v>
      </c>
      <c r="BS33" s="114">
        <f t="shared" si="60"/>
        <v>26384542.849999998</v>
      </c>
      <c r="BT33" s="118">
        <f t="shared" si="60"/>
        <v>0</v>
      </c>
      <c r="BU33" s="117">
        <f t="shared" si="60"/>
        <v>0</v>
      </c>
      <c r="BV33" s="117">
        <f t="shared" si="60"/>
        <v>95800</v>
      </c>
      <c r="BW33" s="117">
        <f t="shared" si="60"/>
        <v>0</v>
      </c>
      <c r="BX33" s="116">
        <f t="shared" si="60"/>
        <v>0</v>
      </c>
      <c r="BY33" s="117">
        <f t="shared" si="60"/>
        <v>0</v>
      </c>
      <c r="BZ33" s="463">
        <f t="shared" si="60"/>
        <v>6430199.0000000009</v>
      </c>
      <c r="CA33" s="117">
        <f t="shared" si="60"/>
        <v>6068196</v>
      </c>
      <c r="CB33" s="463">
        <f>SUM(CB31:CB32)</f>
        <v>11813200</v>
      </c>
      <c r="CC33" s="117">
        <f>SUM(CC31:CC32)</f>
        <v>11462148</v>
      </c>
      <c r="CD33" s="116">
        <f t="shared" ref="CD33:CE33" si="61">SUM(CD31:CD32)</f>
        <v>0</v>
      </c>
      <c r="CE33" s="114">
        <f t="shared" si="61"/>
        <v>0</v>
      </c>
      <c r="CF33" s="116">
        <f t="shared" si="60"/>
        <v>24943000</v>
      </c>
      <c r="CG33" s="116">
        <f t="shared" si="60"/>
        <v>8854198.8499999996</v>
      </c>
      <c r="CH33" s="116">
        <f t="shared" ref="CH33:CI33" si="62">SUM(CH31:CH32)</f>
        <v>420000</v>
      </c>
      <c r="CI33" s="116">
        <f t="shared" si="62"/>
        <v>0</v>
      </c>
      <c r="CJ33" s="114">
        <f t="shared" ref="CJ33:CK33" si="63">SUM(CJ31:CJ32)</f>
        <v>1261587457</v>
      </c>
      <c r="CK33" s="114">
        <f t="shared" si="63"/>
        <v>177400210.64000002</v>
      </c>
      <c r="CL33" s="118">
        <f t="shared" ref="CL33:CM33" si="64">SUM(CL31:CL32)</f>
        <v>0</v>
      </c>
      <c r="CM33" s="116">
        <f t="shared" si="64"/>
        <v>0</v>
      </c>
      <c r="CN33" s="116">
        <f t="shared" ref="CN33:CO33" si="65">SUM(CN31:CN32)</f>
        <v>0</v>
      </c>
      <c r="CO33" s="114">
        <f t="shared" si="65"/>
        <v>0</v>
      </c>
      <c r="CP33" s="112">
        <f t="shared" ref="CP33:CQ33" si="66">SUM(CP31:CP32)</f>
        <v>240000000</v>
      </c>
      <c r="CQ33" s="111">
        <f t="shared" si="66"/>
        <v>39903656.670000002</v>
      </c>
      <c r="CR33" s="118">
        <f t="shared" ref="CR33:CS33" si="67">SUM(CR31:CR32)</f>
        <v>846087457</v>
      </c>
      <c r="CS33" s="117">
        <f t="shared" si="67"/>
        <v>132619797.41000001</v>
      </c>
      <c r="CT33" s="116">
        <f t="shared" ref="CT33:CW33" si="68">SUM(CT31:CT32)</f>
        <v>120000000</v>
      </c>
      <c r="CU33" s="114">
        <f t="shared" si="68"/>
        <v>0</v>
      </c>
      <c r="CV33" s="116">
        <f t="shared" si="68"/>
        <v>44500000</v>
      </c>
      <c r="CW33" s="114">
        <f t="shared" si="68"/>
        <v>0</v>
      </c>
      <c r="CX33" s="116">
        <f t="shared" ref="CX33:DA33" si="69">SUM(CX31:CX32)</f>
        <v>1000000</v>
      </c>
      <c r="CY33" s="114">
        <f t="shared" si="69"/>
        <v>1000000</v>
      </c>
      <c r="CZ33" s="116">
        <f t="shared" si="69"/>
        <v>10000000</v>
      </c>
      <c r="DA33" s="114">
        <f t="shared" si="69"/>
        <v>3876756.56</v>
      </c>
      <c r="DC33" s="1018">
        <f t="shared" si="9"/>
        <v>43702.199000000001</v>
      </c>
      <c r="DD33" s="1018">
        <f t="shared" si="10"/>
        <v>26384.542849999998</v>
      </c>
      <c r="DG33" s="1410">
        <f t="shared" si="4"/>
        <v>-1962568688.6399999</v>
      </c>
    </row>
    <row r="34" spans="1:111" ht="25.5" customHeight="1" x14ac:dyDescent="0.3">
      <c r="A34" s="96"/>
      <c r="B34" s="158"/>
      <c r="C34" s="158"/>
      <c r="D34" s="125"/>
      <c r="E34" s="125"/>
      <c r="F34" s="129"/>
      <c r="G34" s="125"/>
      <c r="H34" s="129"/>
      <c r="I34" s="125"/>
      <c r="J34" s="129"/>
      <c r="K34" s="125"/>
      <c r="L34" s="204"/>
      <c r="M34" s="126"/>
      <c r="N34" s="204"/>
      <c r="O34" s="126"/>
      <c r="P34" s="128"/>
      <c r="Q34" s="833"/>
      <c r="R34" s="204"/>
      <c r="S34" s="126"/>
      <c r="T34" s="128"/>
      <c r="U34" s="126"/>
      <c r="V34" s="204"/>
      <c r="W34" s="126"/>
      <c r="X34" s="204"/>
      <c r="Y34" s="126"/>
      <c r="Z34" s="204"/>
      <c r="AA34" s="126"/>
      <c r="AB34" s="204"/>
      <c r="AC34" s="126"/>
      <c r="AD34" s="204"/>
      <c r="AE34" s="126"/>
      <c r="AF34" s="204"/>
      <c r="AG34" s="126"/>
      <c r="AH34" s="204"/>
      <c r="AI34" s="126"/>
      <c r="AJ34" s="204"/>
      <c r="AK34" s="126"/>
      <c r="AL34" s="204"/>
      <c r="AM34" s="126"/>
      <c r="AN34" s="204"/>
      <c r="AO34" s="126"/>
      <c r="AP34" s="204"/>
      <c r="AQ34" s="126"/>
      <c r="AR34" s="204"/>
      <c r="AS34" s="126"/>
      <c r="AT34" s="204"/>
      <c r="AU34" s="126"/>
      <c r="AV34" s="204"/>
      <c r="AW34" s="126"/>
      <c r="AX34" s="204"/>
      <c r="AY34" s="833"/>
      <c r="AZ34" s="204"/>
      <c r="BA34" s="126"/>
      <c r="BB34" s="204"/>
      <c r="BC34" s="126"/>
      <c r="BD34" s="204"/>
      <c r="BE34" s="126"/>
      <c r="BF34" s="204"/>
      <c r="BG34" s="126"/>
      <c r="BH34" s="204"/>
      <c r="BI34" s="126"/>
      <c r="BJ34" s="204"/>
      <c r="BK34" s="126"/>
      <c r="BL34" s="204"/>
      <c r="BM34" s="126"/>
      <c r="BN34" s="127"/>
      <c r="BO34" s="126"/>
      <c r="BP34" s="204"/>
      <c r="BQ34" s="126"/>
      <c r="BR34" s="260"/>
      <c r="BS34" s="162"/>
      <c r="BT34" s="128"/>
      <c r="BU34" s="126"/>
      <c r="BV34" s="125"/>
      <c r="BW34" s="125"/>
      <c r="BX34" s="207"/>
      <c r="BY34" s="125"/>
      <c r="BZ34" s="129"/>
      <c r="CA34" s="125"/>
      <c r="CB34" s="129"/>
      <c r="CC34" s="125"/>
      <c r="CD34" s="833"/>
      <c r="CE34" s="127"/>
      <c r="CF34" s="833"/>
      <c r="CG34" s="127"/>
      <c r="CH34" s="833"/>
      <c r="CI34" s="127"/>
      <c r="CJ34" s="1242"/>
      <c r="CK34" s="162"/>
      <c r="CL34" s="204"/>
      <c r="CM34" s="833"/>
      <c r="CN34" s="204"/>
      <c r="CO34" s="126"/>
      <c r="CP34" s="833"/>
      <c r="CQ34" s="833"/>
      <c r="CR34" s="204"/>
      <c r="CS34" s="126"/>
      <c r="CT34" s="204"/>
      <c r="CU34" s="126"/>
      <c r="CV34" s="204"/>
      <c r="CW34" s="126"/>
      <c r="CX34" s="204"/>
      <c r="CY34" s="126"/>
      <c r="CZ34" s="204"/>
      <c r="DA34" s="126"/>
      <c r="DC34" s="1018">
        <f t="shared" si="9"/>
        <v>0</v>
      </c>
      <c r="DD34" s="1018">
        <f t="shared" si="10"/>
        <v>0</v>
      </c>
      <c r="DG34" s="1410">
        <f t="shared" si="4"/>
        <v>0</v>
      </c>
    </row>
    <row r="35" spans="1:111" ht="25.5" customHeight="1" thickBot="1" x14ac:dyDescent="0.35">
      <c r="A35" s="106"/>
      <c r="B35" s="163"/>
      <c r="C35" s="163"/>
      <c r="D35" s="130"/>
      <c r="E35" s="130"/>
      <c r="F35" s="133"/>
      <c r="G35" s="130"/>
      <c r="H35" s="133"/>
      <c r="I35" s="130"/>
      <c r="J35" s="133"/>
      <c r="K35" s="130"/>
      <c r="L35" s="205"/>
      <c r="M35" s="131"/>
      <c r="N35" s="205"/>
      <c r="O35" s="131"/>
      <c r="P35" s="132"/>
      <c r="Q35" s="205"/>
      <c r="R35" s="205"/>
      <c r="S35" s="131"/>
      <c r="T35" s="132"/>
      <c r="U35" s="131"/>
      <c r="V35" s="205"/>
      <c r="W35" s="131"/>
      <c r="X35" s="205"/>
      <c r="Y35" s="131"/>
      <c r="Z35" s="205"/>
      <c r="AA35" s="131"/>
      <c r="AB35" s="205"/>
      <c r="AC35" s="131"/>
      <c r="AD35" s="205"/>
      <c r="AE35" s="131"/>
      <c r="AF35" s="205"/>
      <c r="AG35" s="131"/>
      <c r="AH35" s="205"/>
      <c r="AI35" s="131"/>
      <c r="AJ35" s="205"/>
      <c r="AK35" s="131"/>
      <c r="AL35" s="205"/>
      <c r="AM35" s="131"/>
      <c r="AN35" s="205"/>
      <c r="AO35" s="131"/>
      <c r="AP35" s="205"/>
      <c r="AQ35" s="131"/>
      <c r="AR35" s="205"/>
      <c r="AS35" s="131"/>
      <c r="AT35" s="205"/>
      <c r="AU35" s="131"/>
      <c r="AV35" s="205"/>
      <c r="AW35" s="131"/>
      <c r="AX35" s="205"/>
      <c r="AY35" s="205"/>
      <c r="AZ35" s="205"/>
      <c r="BA35" s="131"/>
      <c r="BB35" s="205"/>
      <c r="BC35" s="131"/>
      <c r="BD35" s="205"/>
      <c r="BE35" s="131"/>
      <c r="BF35" s="205"/>
      <c r="BG35" s="131"/>
      <c r="BH35" s="205"/>
      <c r="BI35" s="131"/>
      <c r="BJ35" s="205"/>
      <c r="BK35" s="131"/>
      <c r="BL35" s="205"/>
      <c r="BM35" s="131"/>
      <c r="BN35" s="131"/>
      <c r="BO35" s="131"/>
      <c r="BP35" s="205"/>
      <c r="BQ35" s="131"/>
      <c r="BR35" s="208"/>
      <c r="BS35" s="130"/>
      <c r="BT35" s="132"/>
      <c r="BU35" s="131"/>
      <c r="BV35" s="130"/>
      <c r="BW35" s="130"/>
      <c r="BX35" s="208"/>
      <c r="BY35" s="130"/>
      <c r="BZ35" s="133"/>
      <c r="CA35" s="130"/>
      <c r="CB35" s="133"/>
      <c r="CC35" s="130"/>
      <c r="CD35" s="205"/>
      <c r="CE35" s="131"/>
      <c r="CF35" s="205"/>
      <c r="CG35" s="131"/>
      <c r="CH35" s="205"/>
      <c r="CI35" s="131"/>
      <c r="CJ35" s="133"/>
      <c r="CK35" s="130"/>
      <c r="CL35" s="205"/>
      <c r="CM35" s="205"/>
      <c r="CN35" s="205"/>
      <c r="CO35" s="131"/>
      <c r="CP35" s="205"/>
      <c r="CQ35" s="205"/>
      <c r="CR35" s="205"/>
      <c r="CS35" s="131"/>
      <c r="CT35" s="205"/>
      <c r="CU35" s="131"/>
      <c r="CV35" s="205"/>
      <c r="CW35" s="131"/>
      <c r="CX35" s="205"/>
      <c r="CY35" s="131"/>
      <c r="CZ35" s="205"/>
      <c r="DA35" s="131"/>
      <c r="DC35" s="1018">
        <f t="shared" si="9"/>
        <v>0</v>
      </c>
      <c r="DD35" s="1018">
        <f t="shared" si="10"/>
        <v>0</v>
      </c>
      <c r="DG35" s="1410">
        <f t="shared" si="4"/>
        <v>0</v>
      </c>
    </row>
    <row r="36" spans="1:111" ht="25.5" customHeight="1" thickBot="1" x14ac:dyDescent="0.35">
      <c r="A36" s="160" t="s">
        <v>36</v>
      </c>
      <c r="B36" s="136">
        <f t="shared" ref="B36:G36" si="70">B29+B33</f>
        <v>4658338706.8400002</v>
      </c>
      <c r="C36" s="136">
        <f t="shared" si="70"/>
        <v>1357780346.73</v>
      </c>
      <c r="D36" s="110">
        <f t="shared" si="70"/>
        <v>3178537449.8400002</v>
      </c>
      <c r="E36" s="110">
        <f t="shared" si="70"/>
        <v>1100594652.8099999</v>
      </c>
      <c r="F36" s="135">
        <f t="shared" si="70"/>
        <v>711188.46</v>
      </c>
      <c r="G36" s="134">
        <f t="shared" si="70"/>
        <v>711188.46</v>
      </c>
      <c r="H36" s="135">
        <f t="shared" ref="H36:AU36" si="71">H29+H33</f>
        <v>540305661.38999999</v>
      </c>
      <c r="I36" s="134">
        <f t="shared" si="71"/>
        <v>316742204.18000001</v>
      </c>
      <c r="J36" s="135">
        <f t="shared" ref="J36:K36" si="72">J29+J33</f>
        <v>611225000</v>
      </c>
      <c r="K36" s="134">
        <f t="shared" si="72"/>
        <v>132242687.39</v>
      </c>
      <c r="L36" s="136">
        <f t="shared" ref="L36:M36" si="73">L29+L33</f>
        <v>2664000</v>
      </c>
      <c r="M36" s="137">
        <f t="shared" si="73"/>
        <v>0</v>
      </c>
      <c r="N36" s="136">
        <f t="shared" si="71"/>
        <v>363600</v>
      </c>
      <c r="O36" s="137">
        <f t="shared" si="71"/>
        <v>0</v>
      </c>
      <c r="P36" s="138">
        <f>P29+P33</f>
        <v>4766000</v>
      </c>
      <c r="Q36" s="136">
        <f>Q29+Q33</f>
        <v>0</v>
      </c>
      <c r="R36" s="136">
        <f t="shared" ref="R36:S36" si="74">R29+R33</f>
        <v>11438700</v>
      </c>
      <c r="S36" s="137">
        <f t="shared" si="74"/>
        <v>5670930.9699999997</v>
      </c>
      <c r="T36" s="138">
        <f>T29+T33</f>
        <v>40000000</v>
      </c>
      <c r="U36" s="137">
        <f>U29+U33</f>
        <v>0</v>
      </c>
      <c r="V36" s="136">
        <f>V29+V33</f>
        <v>25000000</v>
      </c>
      <c r="W36" s="137">
        <f>W29+W33</f>
        <v>1371134.02</v>
      </c>
      <c r="X36" s="136">
        <f t="shared" ref="X36:Y36" si="75">X29+X33</f>
        <v>141345300</v>
      </c>
      <c r="Y36" s="137">
        <f t="shared" si="75"/>
        <v>15502652.77</v>
      </c>
      <c r="Z36" s="136">
        <f t="shared" ref="Z36:AA36" si="76">Z29+Z33</f>
        <v>454752300</v>
      </c>
      <c r="AA36" s="137">
        <f t="shared" si="76"/>
        <v>145774205.91999999</v>
      </c>
      <c r="AB36" s="136">
        <f t="shared" ref="AB36:AG36" si="77">AB29+AB33</f>
        <v>0</v>
      </c>
      <c r="AC36" s="137">
        <f t="shared" si="77"/>
        <v>0</v>
      </c>
      <c r="AD36" s="136">
        <f t="shared" ref="AD36:AE36" si="78">AD29+AD33</f>
        <v>16640800</v>
      </c>
      <c r="AE36" s="137">
        <f t="shared" si="78"/>
        <v>0</v>
      </c>
      <c r="AF36" s="136">
        <f t="shared" si="77"/>
        <v>7186299.9999999991</v>
      </c>
      <c r="AG36" s="137">
        <f t="shared" si="77"/>
        <v>1338336.3599999999</v>
      </c>
      <c r="AH36" s="136">
        <f t="shared" ref="AH36:AI36" si="79">AH29+AH33</f>
        <v>0</v>
      </c>
      <c r="AI36" s="137">
        <f t="shared" si="79"/>
        <v>0</v>
      </c>
      <c r="AJ36" s="136">
        <f t="shared" ref="AJ36:AQ36" si="80">AJ29+AJ33</f>
        <v>0</v>
      </c>
      <c r="AK36" s="137">
        <f t="shared" si="80"/>
        <v>0</v>
      </c>
      <c r="AL36" s="136">
        <f t="shared" ref="AL36:AM36" si="81">AL29+AL33</f>
        <v>31626400</v>
      </c>
      <c r="AM36" s="137">
        <f t="shared" si="81"/>
        <v>0</v>
      </c>
      <c r="AN36" s="136">
        <f t="shared" si="80"/>
        <v>4084000</v>
      </c>
      <c r="AO36" s="137">
        <f t="shared" si="80"/>
        <v>2568051.58</v>
      </c>
      <c r="AP36" s="136">
        <f t="shared" si="80"/>
        <v>18848699.989999998</v>
      </c>
      <c r="AQ36" s="137">
        <f t="shared" si="80"/>
        <v>13328033.359999999</v>
      </c>
      <c r="AR36" s="136">
        <f t="shared" ref="AR36:AS36" si="82">AR29+AR33</f>
        <v>24211700</v>
      </c>
      <c r="AS36" s="137">
        <f t="shared" si="82"/>
        <v>9996648.7699999996</v>
      </c>
      <c r="AT36" s="136">
        <f t="shared" si="71"/>
        <v>227600</v>
      </c>
      <c r="AU36" s="137">
        <f t="shared" si="71"/>
        <v>0</v>
      </c>
      <c r="AV36" s="136">
        <f>AV29+AV33</f>
        <v>45360000</v>
      </c>
      <c r="AW36" s="137">
        <f>AW29+AW33</f>
        <v>3569892.9499999997</v>
      </c>
      <c r="AX36" s="136">
        <f t="shared" ref="AX36:BG36" si="83">AX29+AX33</f>
        <v>334532500</v>
      </c>
      <c r="AY36" s="136">
        <f t="shared" si="83"/>
        <v>334532500</v>
      </c>
      <c r="AZ36" s="136">
        <f t="shared" ref="AZ36:BA36" si="84">AZ29+AZ33</f>
        <v>35042600</v>
      </c>
      <c r="BA36" s="137">
        <f t="shared" si="84"/>
        <v>9063599.5299999993</v>
      </c>
      <c r="BB36" s="136">
        <f>BB29+BB33</f>
        <v>0</v>
      </c>
      <c r="BC36" s="137">
        <f>BC29+BC33</f>
        <v>0</v>
      </c>
      <c r="BD36" s="136">
        <f>BD29+BD33</f>
        <v>0</v>
      </c>
      <c r="BE36" s="137">
        <f>BE29+BE33</f>
        <v>0</v>
      </c>
      <c r="BF36" s="136">
        <f t="shared" si="83"/>
        <v>319736500</v>
      </c>
      <c r="BG36" s="137">
        <f t="shared" si="83"/>
        <v>58333822.579999998</v>
      </c>
      <c r="BH36" s="136">
        <f t="shared" ref="BH36:BI36" si="85">BH29+BH33</f>
        <v>20041800</v>
      </c>
      <c r="BI36" s="137">
        <f t="shared" si="85"/>
        <v>0</v>
      </c>
      <c r="BJ36" s="136">
        <f>BJ29+BJ33</f>
        <v>83595200</v>
      </c>
      <c r="BK36" s="137">
        <f>BK29+BK33</f>
        <v>5235068.1599999992</v>
      </c>
      <c r="BL36" s="136">
        <f>BL29+BL33</f>
        <v>283076300</v>
      </c>
      <c r="BM36" s="137">
        <f>BM29+BM33</f>
        <v>12418836.18</v>
      </c>
      <c r="BN36" s="137">
        <f t="shared" ref="BN36:BO36" si="86">BN29+BN33</f>
        <v>112160600</v>
      </c>
      <c r="BO36" s="137">
        <f t="shared" si="86"/>
        <v>32194859.629999999</v>
      </c>
      <c r="BP36" s="136">
        <f t="shared" ref="BP36:BQ36" si="87">BP29+BP33</f>
        <v>9594700</v>
      </c>
      <c r="BQ36" s="137">
        <f t="shared" si="87"/>
        <v>0</v>
      </c>
      <c r="BR36" s="206">
        <f t="shared" ref="BR36:CG36" si="88">BR29+BR33</f>
        <v>113213800</v>
      </c>
      <c r="BS36" s="134">
        <f t="shared" si="88"/>
        <v>64035583.280000001</v>
      </c>
      <c r="BT36" s="138">
        <f t="shared" si="88"/>
        <v>28803000</v>
      </c>
      <c r="BU36" s="137">
        <f t="shared" si="88"/>
        <v>12567161.530000001</v>
      </c>
      <c r="BV36" s="134">
        <f t="shared" si="88"/>
        <v>143000</v>
      </c>
      <c r="BW36" s="134">
        <f t="shared" si="88"/>
        <v>5184</v>
      </c>
      <c r="BX36" s="206">
        <f t="shared" si="88"/>
        <v>0</v>
      </c>
      <c r="BY36" s="134">
        <f t="shared" si="88"/>
        <v>0</v>
      </c>
      <c r="BZ36" s="135">
        <f t="shared" si="88"/>
        <v>8573600</v>
      </c>
      <c r="CA36" s="134">
        <f t="shared" si="88"/>
        <v>8090928</v>
      </c>
      <c r="CB36" s="135">
        <f>CB29+CB33</f>
        <v>11813200</v>
      </c>
      <c r="CC36" s="134">
        <f>CC29+CC33</f>
        <v>11462148</v>
      </c>
      <c r="CD36" s="206">
        <f t="shared" ref="CD36:CE36" si="89">CD29+CD33</f>
        <v>0</v>
      </c>
      <c r="CE36" s="134">
        <f t="shared" si="89"/>
        <v>0</v>
      </c>
      <c r="CF36" s="206">
        <f t="shared" si="88"/>
        <v>63041000</v>
      </c>
      <c r="CG36" s="134">
        <f t="shared" si="88"/>
        <v>31910161.75</v>
      </c>
      <c r="CH36" s="206">
        <f t="shared" ref="CH36:CI36" si="90">CH29+CH33</f>
        <v>840000</v>
      </c>
      <c r="CI36" s="134">
        <f t="shared" si="90"/>
        <v>0</v>
      </c>
      <c r="CJ36" s="135">
        <f t="shared" ref="CJ36:CK36" si="91">CJ29+CJ33</f>
        <v>1366587457</v>
      </c>
      <c r="CK36" s="134">
        <f t="shared" si="91"/>
        <v>193150110.64000002</v>
      </c>
      <c r="CL36" s="136">
        <f t="shared" ref="CL36:CM36" si="92">CL29+CL33</f>
        <v>0</v>
      </c>
      <c r="CM36" s="136">
        <f t="shared" si="92"/>
        <v>0</v>
      </c>
      <c r="CN36" s="136">
        <f t="shared" ref="CN36:CO36" si="93">CN29+CN33</f>
        <v>0</v>
      </c>
      <c r="CO36" s="137">
        <f t="shared" si="93"/>
        <v>0</v>
      </c>
      <c r="CP36" s="136">
        <f t="shared" ref="CP36:CQ36" si="94">CP29+CP33</f>
        <v>240000000</v>
      </c>
      <c r="CQ36" s="136">
        <f t="shared" si="94"/>
        <v>39903656.670000002</v>
      </c>
      <c r="CR36" s="136">
        <f t="shared" ref="CR36:CS36" si="95">CR29+CR33</f>
        <v>861087457</v>
      </c>
      <c r="CS36" s="137">
        <f t="shared" si="95"/>
        <v>147619797.41000003</v>
      </c>
      <c r="CT36" s="136">
        <f t="shared" ref="CT36:CW36" si="96">CT29+CT33</f>
        <v>120000000</v>
      </c>
      <c r="CU36" s="137">
        <f t="shared" si="96"/>
        <v>0</v>
      </c>
      <c r="CV36" s="136">
        <f t="shared" si="96"/>
        <v>134500000</v>
      </c>
      <c r="CW36" s="137">
        <f t="shared" si="96"/>
        <v>749900</v>
      </c>
      <c r="CX36" s="136">
        <f t="shared" ref="CX36:DA36" si="97">CX29+CX33</f>
        <v>1000000</v>
      </c>
      <c r="CY36" s="137">
        <f t="shared" si="97"/>
        <v>1000000</v>
      </c>
      <c r="CZ36" s="136">
        <f t="shared" si="97"/>
        <v>10000000</v>
      </c>
      <c r="DA36" s="137">
        <f t="shared" si="97"/>
        <v>3876756.56</v>
      </c>
      <c r="DC36" s="1018">
        <f t="shared" si="9"/>
        <v>84410.8</v>
      </c>
      <c r="DD36" s="1018">
        <f t="shared" si="10"/>
        <v>51468.421750000001</v>
      </c>
      <c r="DG36" s="1410">
        <f t="shared" si="4"/>
        <v>-3178537449.8400002</v>
      </c>
    </row>
    <row r="37" spans="1:111" s="164" customFormat="1" ht="16.8" x14ac:dyDescent="0.3">
      <c r="A37" s="87"/>
      <c r="B37" s="159">
        <f>B36/1000-'Федеральные  средства'!B67</f>
        <v>0</v>
      </c>
      <c r="C37" s="159">
        <f>C36/1000-'Федеральные  средства'!C67</f>
        <v>0</v>
      </c>
      <c r="D37" s="159">
        <f>D36/1000-'Федеральные  средства'!B41</f>
        <v>0</v>
      </c>
      <c r="E37" s="159">
        <f>E36/1000-'Федеральные  средства'!C41</f>
        <v>0</v>
      </c>
      <c r="F37" s="139"/>
      <c r="G37" s="139"/>
      <c r="H37" s="139"/>
      <c r="I37" s="139"/>
      <c r="J37" s="139"/>
      <c r="K37" s="139"/>
      <c r="L37" s="141"/>
      <c r="M37" s="141"/>
      <c r="N37" s="141"/>
      <c r="O37" s="141"/>
      <c r="P37" s="141"/>
      <c r="Q37" s="141"/>
      <c r="R37" s="141"/>
      <c r="S37" s="141"/>
      <c r="T37" s="141"/>
      <c r="U37" s="141"/>
      <c r="V37" s="141"/>
      <c r="W37" s="141"/>
      <c r="X37" s="141"/>
      <c r="Y37" s="141"/>
      <c r="Z37" s="141"/>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59">
        <f>BR36/1000-'Федеральные  средства'!B52</f>
        <v>0</v>
      </c>
      <c r="BS37" s="159">
        <f>BS36/1000-'Федеральные  средства'!C52</f>
        <v>0</v>
      </c>
      <c r="BT37" s="87"/>
      <c r="BU37" s="159"/>
      <c r="BV37" s="140"/>
      <c r="BW37" s="140"/>
      <c r="BX37" s="159"/>
      <c r="BY37" s="159"/>
      <c r="BZ37" s="159"/>
      <c r="CA37" s="159"/>
      <c r="CB37" s="159"/>
      <c r="CC37" s="159"/>
      <c r="CD37" s="87"/>
      <c r="CE37" s="87"/>
      <c r="CF37" s="87"/>
      <c r="CG37" s="87"/>
      <c r="CH37" s="87"/>
      <c r="CI37" s="87"/>
      <c r="CJ37" s="159">
        <f>CJ36/1000-'Федеральные  средства'!B64</f>
        <v>0</v>
      </c>
      <c r="CK37" s="159">
        <f>CK36/1000-'Федеральные  средства'!C64</f>
        <v>0</v>
      </c>
      <c r="CL37" s="87"/>
      <c r="CM37" s="159"/>
      <c r="CN37" s="87"/>
      <c r="CO37" s="159"/>
      <c r="CP37" s="159"/>
      <c r="CQ37" s="159"/>
      <c r="CR37" s="87"/>
      <c r="CS37" s="159"/>
      <c r="CT37" s="87"/>
      <c r="CU37" s="159"/>
      <c r="CV37" s="87"/>
      <c r="CW37" s="159"/>
      <c r="CX37" s="87"/>
      <c r="CY37" s="159"/>
      <c r="CZ37" s="87"/>
      <c r="DA37" s="159"/>
      <c r="DF37" s="1411"/>
    </row>
    <row r="38" spans="1:111" s="165" customFormat="1" ht="27.9" customHeight="1" x14ac:dyDescent="0.25">
      <c r="A38" s="1135" t="s">
        <v>455</v>
      </c>
      <c r="B38" s="1382">
        <f>D38+BR36+CJ36</f>
        <v>4117321856.9900002</v>
      </c>
      <c r="C38" s="1383"/>
      <c r="D38" s="1379">
        <f>D36-H36-F36</f>
        <v>2637520599.9900002</v>
      </c>
      <c r="E38" s="1379">
        <f>E36-I36-G36</f>
        <v>783141260.16999984</v>
      </c>
      <c r="F38" s="1848" t="s">
        <v>820</v>
      </c>
      <c r="G38" s="1849"/>
      <c r="H38" s="1848" t="s">
        <v>734</v>
      </c>
      <c r="I38" s="1849"/>
      <c r="J38" s="1848" t="s">
        <v>575</v>
      </c>
      <c r="K38" s="1849"/>
      <c r="L38" s="1848" t="s">
        <v>508</v>
      </c>
      <c r="M38" s="1849"/>
      <c r="N38" s="1848" t="s">
        <v>509</v>
      </c>
      <c r="O38" s="1849"/>
      <c r="P38" s="1848" t="s">
        <v>510</v>
      </c>
      <c r="Q38" s="1849"/>
      <c r="R38" s="1848" t="s">
        <v>512</v>
      </c>
      <c r="S38" s="1849"/>
      <c r="T38" s="1848" t="s">
        <v>513</v>
      </c>
      <c r="U38" s="1849"/>
      <c r="V38" s="1848" t="s">
        <v>514</v>
      </c>
      <c r="W38" s="1849"/>
      <c r="X38" s="1848" t="s">
        <v>515</v>
      </c>
      <c r="Y38" s="1849"/>
      <c r="Z38" s="1848" t="s">
        <v>516</v>
      </c>
      <c r="AA38" s="1849"/>
      <c r="AB38" s="1848" t="s">
        <v>517</v>
      </c>
      <c r="AC38" s="1849"/>
      <c r="AD38" s="1848" t="s">
        <v>788</v>
      </c>
      <c r="AE38" s="1849"/>
      <c r="AF38" s="1848" t="s">
        <v>930</v>
      </c>
      <c r="AG38" s="1849"/>
      <c r="AH38" s="1848" t="s">
        <v>772</v>
      </c>
      <c r="AI38" s="1849"/>
      <c r="AJ38" s="1848" t="s">
        <v>852</v>
      </c>
      <c r="AK38" s="1849"/>
      <c r="AL38" s="1848" t="s">
        <v>900</v>
      </c>
      <c r="AM38" s="1849"/>
      <c r="AN38" s="1848" t="s">
        <v>518</v>
      </c>
      <c r="AO38" s="1849"/>
      <c r="AP38" s="1848" t="s">
        <v>519</v>
      </c>
      <c r="AQ38" s="1849"/>
      <c r="AR38" s="1848" t="s">
        <v>557</v>
      </c>
      <c r="AS38" s="1849"/>
      <c r="AT38" s="1848" t="s">
        <v>520</v>
      </c>
      <c r="AU38" s="1849"/>
      <c r="AV38" s="1848" t="s">
        <v>521</v>
      </c>
      <c r="AW38" s="1849"/>
      <c r="AX38" s="1848" t="s">
        <v>522</v>
      </c>
      <c r="AY38" s="1849"/>
      <c r="AZ38" s="1848" t="s">
        <v>729</v>
      </c>
      <c r="BA38" s="1849"/>
      <c r="BB38" s="1848" t="s">
        <v>523</v>
      </c>
      <c r="BC38" s="1849"/>
      <c r="BD38" s="1848" t="s">
        <v>524</v>
      </c>
      <c r="BE38" s="1849"/>
      <c r="BF38" s="1848" t="s">
        <v>611</v>
      </c>
      <c r="BG38" s="1849"/>
      <c r="BH38" s="1848" t="s">
        <v>626</v>
      </c>
      <c r="BI38" s="1849"/>
      <c r="BJ38" s="1848" t="s">
        <v>629</v>
      </c>
      <c r="BK38" s="1849"/>
      <c r="BL38" s="1848" t="s">
        <v>632</v>
      </c>
      <c r="BM38" s="1849"/>
      <c r="BN38" s="1848" t="s">
        <v>511</v>
      </c>
      <c r="BO38" s="1849"/>
      <c r="BP38" s="1848" t="s">
        <v>715</v>
      </c>
      <c r="BQ38" s="1849"/>
      <c r="BR38" s="262"/>
      <c r="BS38" s="263"/>
      <c r="BT38" s="1848" t="s">
        <v>173</v>
      </c>
      <c r="BU38" s="1849"/>
      <c r="BV38" s="1848" t="s">
        <v>174</v>
      </c>
      <c r="BW38" s="1849"/>
      <c r="BX38" s="1662" t="s">
        <v>214</v>
      </c>
      <c r="BY38" s="1663"/>
      <c r="BZ38" s="1662" t="s">
        <v>172</v>
      </c>
      <c r="CA38" s="1663"/>
      <c r="CB38" s="1662" t="s">
        <v>295</v>
      </c>
      <c r="CC38" s="1663"/>
      <c r="CD38" s="1870" t="s">
        <v>617</v>
      </c>
      <c r="CE38" s="1871"/>
      <c r="CF38" s="1870" t="s">
        <v>175</v>
      </c>
      <c r="CG38" s="1871"/>
      <c r="CH38" s="1870" t="s">
        <v>918</v>
      </c>
      <c r="CI38" s="1871"/>
      <c r="CJ38" s="262"/>
      <c r="CK38" s="263"/>
      <c r="CL38" s="1870" t="s">
        <v>409</v>
      </c>
      <c r="CM38" s="1871"/>
      <c r="CN38" s="1870" t="s">
        <v>860</v>
      </c>
      <c r="CO38" s="1871"/>
      <c r="CP38" s="1870" t="s">
        <v>739</v>
      </c>
      <c r="CQ38" s="1871"/>
      <c r="CR38" s="1870" t="s">
        <v>408</v>
      </c>
      <c r="CS38" s="1871"/>
      <c r="CT38" s="1870" t="s">
        <v>749</v>
      </c>
      <c r="CU38" s="1871"/>
      <c r="CV38" s="1870" t="s">
        <v>829</v>
      </c>
      <c r="CW38" s="1871"/>
      <c r="CX38" s="1870" t="s">
        <v>588</v>
      </c>
      <c r="CY38" s="1871"/>
      <c r="CZ38" s="1870" t="s">
        <v>594</v>
      </c>
      <c r="DA38" s="1871"/>
      <c r="DF38" s="1412"/>
    </row>
    <row r="39" spans="1:111" s="1019" customFormat="1" ht="48" x14ac:dyDescent="0.4">
      <c r="A39" s="1380" t="s">
        <v>778</v>
      </c>
      <c r="B39" s="1381"/>
      <c r="C39" s="1381">
        <f>I36</f>
        <v>316742204.18000001</v>
      </c>
      <c r="D39" s="1846" t="s">
        <v>777</v>
      </c>
      <c r="E39" s="1847"/>
      <c r="F39" s="1458"/>
      <c r="G39" s="1458"/>
      <c r="DF39" s="1411"/>
    </row>
    <row r="40" spans="1:111" ht="17.399999999999999" x14ac:dyDescent="0.3">
      <c r="C40" s="1134">
        <f>C38-C36+C39</f>
        <v>-1041038142.55</v>
      </c>
    </row>
  </sheetData>
  <mergeCells count="124">
    <mergeCell ref="BR7:CI7"/>
    <mergeCell ref="CH38:CI38"/>
    <mergeCell ref="CF8:CI8"/>
    <mergeCell ref="CF9:CG9"/>
    <mergeCell ref="CH9:CI9"/>
    <mergeCell ref="BN38:BO38"/>
    <mergeCell ref="R38:S38"/>
    <mergeCell ref="H38:I38"/>
    <mergeCell ref="N38:O38"/>
    <mergeCell ref="L38:M38"/>
    <mergeCell ref="P8:Q9"/>
    <mergeCell ref="X38:Y38"/>
    <mergeCell ref="BN8:BO8"/>
    <mergeCell ref="T9:U9"/>
    <mergeCell ref="AF38:AG38"/>
    <mergeCell ref="AB38:AC38"/>
    <mergeCell ref="Z38:AA38"/>
    <mergeCell ref="V9:W9"/>
    <mergeCell ref="BF9:BG9"/>
    <mergeCell ref="AT8:AU8"/>
    <mergeCell ref="AJ38:AK38"/>
    <mergeCell ref="AJ8:AK9"/>
    <mergeCell ref="T38:U38"/>
    <mergeCell ref="J38:K38"/>
    <mergeCell ref="AH38:AI38"/>
    <mergeCell ref="AD38:AE38"/>
    <mergeCell ref="AT38:AU38"/>
    <mergeCell ref="AX38:AY38"/>
    <mergeCell ref="DC10:DD10"/>
    <mergeCell ref="CF38:CG38"/>
    <mergeCell ref="CJ8:CJ10"/>
    <mergeCell ref="CK8:CK10"/>
    <mergeCell ref="CV38:CW38"/>
    <mergeCell ref="CB38:CC38"/>
    <mergeCell ref="CD8:CE9"/>
    <mergeCell ref="CD38:CE38"/>
    <mergeCell ref="BV8:BW9"/>
    <mergeCell ref="CB8:CC9"/>
    <mergeCell ref="BZ8:CA9"/>
    <mergeCell ref="BX8:BY9"/>
    <mergeCell ref="BX38:BY38"/>
    <mergeCell ref="AN38:AO38"/>
    <mergeCell ref="BR8:BR10"/>
    <mergeCell ref="BP38:BQ38"/>
    <mergeCell ref="BH9:BI9"/>
    <mergeCell ref="BH38:BI38"/>
    <mergeCell ref="AZ38:BA38"/>
    <mergeCell ref="BP8:BQ8"/>
    <mergeCell ref="A6:A10"/>
    <mergeCell ref="D8:D10"/>
    <mergeCell ref="E8:E10"/>
    <mergeCell ref="B6:C9"/>
    <mergeCell ref="F8:G9"/>
    <mergeCell ref="F38:G38"/>
    <mergeCell ref="L8:M8"/>
    <mergeCell ref="BP9:BQ9"/>
    <mergeCell ref="AN8:AO9"/>
    <mergeCell ref="AT9:AU9"/>
    <mergeCell ref="AR8:AS8"/>
    <mergeCell ref="H8:I9"/>
    <mergeCell ref="R8:U8"/>
    <mergeCell ref="Z8:AA9"/>
    <mergeCell ref="AV9:AW9"/>
    <mergeCell ref="X8:Y9"/>
    <mergeCell ref="R9:S9"/>
    <mergeCell ref="N9:O9"/>
    <mergeCell ref="J8:K9"/>
    <mergeCell ref="AF8:AI8"/>
    <mergeCell ref="AF9:AG9"/>
    <mergeCell ref="AH9:AI9"/>
    <mergeCell ref="AD8:AE9"/>
    <mergeCell ref="BF8:BG8"/>
    <mergeCell ref="CJ7:DA7"/>
    <mergeCell ref="CX8:CY9"/>
    <mergeCell ref="CZ8:DA9"/>
    <mergeCell ref="CX38:CY38"/>
    <mergeCell ref="CZ38:DA38"/>
    <mergeCell ref="CR8:CS8"/>
    <mergeCell ref="CR38:CS38"/>
    <mergeCell ref="CR9:CS9"/>
    <mergeCell ref="CL8:CM9"/>
    <mergeCell ref="CL38:CM38"/>
    <mergeCell ref="CT8:CU9"/>
    <mergeCell ref="CT38:CU38"/>
    <mergeCell ref="CP8:CQ8"/>
    <mergeCell ref="CP9:CQ9"/>
    <mergeCell ref="CP38:CQ38"/>
    <mergeCell ref="CV8:CW9"/>
    <mergeCell ref="CN8:CO9"/>
    <mergeCell ref="CN38:CO38"/>
    <mergeCell ref="BH8:BM8"/>
    <mergeCell ref="BB8:BE8"/>
    <mergeCell ref="BB9:BC9"/>
    <mergeCell ref="AR38:AS38"/>
    <mergeCell ref="AZ9:BA9"/>
    <mergeCell ref="BJ9:BK9"/>
    <mergeCell ref="BJ38:BK38"/>
    <mergeCell ref="AV38:AW38"/>
    <mergeCell ref="AP8:AQ9"/>
    <mergeCell ref="AX8:BA8"/>
    <mergeCell ref="D7:M7"/>
    <mergeCell ref="D39:E39"/>
    <mergeCell ref="BV38:BW38"/>
    <mergeCell ref="BZ38:CA38"/>
    <mergeCell ref="BS8:BS10"/>
    <mergeCell ref="BL9:BM9"/>
    <mergeCell ref="BL38:BM38"/>
    <mergeCell ref="BT38:BU38"/>
    <mergeCell ref="BT8:BU9"/>
    <mergeCell ref="AB8:AC9"/>
    <mergeCell ref="V8:W8"/>
    <mergeCell ref="L9:M9"/>
    <mergeCell ref="AL8:AM9"/>
    <mergeCell ref="AL38:AM38"/>
    <mergeCell ref="AP38:AQ38"/>
    <mergeCell ref="V38:W38"/>
    <mergeCell ref="BB38:BC38"/>
    <mergeCell ref="BF38:BG38"/>
    <mergeCell ref="BD38:BE38"/>
    <mergeCell ref="BD9:BE9"/>
    <mergeCell ref="AR9:AS9"/>
    <mergeCell ref="AX9:AY9"/>
    <mergeCell ref="BN9:BO9"/>
    <mergeCell ref="P38:Q38"/>
  </mergeCells>
  <phoneticPr fontId="0" type="noConversion"/>
  <pageMargins left="0.78740157480314965" right="0.39370078740157483" top="0.78740157480314965" bottom="0.78740157480314965" header="0.51181102362204722" footer="0.51181102362204722"/>
  <pageSetup paperSize="9" scale="38" fitToWidth="15" orientation="landscape" r:id="rId1"/>
  <headerFooter alignWithMargins="0">
    <oddFooter>&amp;L&amp;P&amp;R&amp;Z&amp;F&amp;A</oddFooter>
  </headerFooter>
  <rowBreaks count="1" manualBreakCount="1">
    <brk id="39" max="92" man="1"/>
  </rowBreaks>
  <colBreaks count="8" manualBreakCount="8">
    <brk id="13" max="38" man="1"/>
    <brk id="25" max="38" man="1"/>
    <brk id="37" max="38" man="1"/>
    <brk id="47" max="38" man="1"/>
    <brk id="57" max="38" man="1"/>
    <brk id="69" max="38" man="1"/>
    <brk id="83" max="38" man="1"/>
    <brk id="97" max="38"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5">
    <pageSetUpPr fitToPage="1"/>
  </sheetPr>
  <dimension ref="A2:C67"/>
  <sheetViews>
    <sheetView topLeftCell="A2" zoomScaleNormal="100" workbookViewId="0">
      <pane xSplit="1" ySplit="5" topLeftCell="B31" activePane="bottomRight" state="frozen"/>
      <selection activeCell="A2" sqref="A2"/>
      <selection pane="topRight" activeCell="B2" sqref="B2"/>
      <selection pane="bottomLeft" activeCell="A6" sqref="A6"/>
      <selection pane="bottomRight" activeCell="A15" sqref="A15"/>
    </sheetView>
  </sheetViews>
  <sheetFormatPr defaultColWidth="9.109375" defaultRowHeight="13.2" x14ac:dyDescent="0.25"/>
  <cols>
    <col min="1" max="1" width="80.88671875" style="376" customWidth="1"/>
    <col min="2" max="2" width="16.88671875" style="358" customWidth="1"/>
    <col min="3" max="3" width="16.5546875" style="358" customWidth="1"/>
    <col min="4" max="16384" width="9.109375" style="358"/>
  </cols>
  <sheetData>
    <row r="2" spans="1:3" ht="13.8" x14ac:dyDescent="0.25">
      <c r="A2" s="1901" t="s">
        <v>465</v>
      </c>
      <c r="B2" s="1901"/>
      <c r="C2" s="1901"/>
    </row>
    <row r="3" spans="1:3" ht="13.8" x14ac:dyDescent="0.25">
      <c r="A3" s="1902" t="str">
        <f>'Федеральные  средства  по  МО'!F3</f>
        <v>ПО  СОСТОЯНИЮ  НА  1  ИЮЛЯ  2020  ГОДА</v>
      </c>
      <c r="B3" s="1902"/>
      <c r="C3" s="1902"/>
    </row>
    <row r="4" spans="1:3" ht="13.8" x14ac:dyDescent="0.25">
      <c r="A4" s="495"/>
      <c r="B4" s="495"/>
      <c r="C4" s="495"/>
    </row>
    <row r="5" spans="1:3" ht="13.8" x14ac:dyDescent="0.25">
      <c r="C5" s="496" t="s">
        <v>2</v>
      </c>
    </row>
    <row r="6" spans="1:3" ht="13.8" x14ac:dyDescent="0.25">
      <c r="A6" s="166" t="s">
        <v>159</v>
      </c>
      <c r="B6" s="1132" t="s">
        <v>13</v>
      </c>
      <c r="C6" s="217" t="s">
        <v>4</v>
      </c>
    </row>
    <row r="7" spans="1:3" ht="13.8" x14ac:dyDescent="0.25">
      <c r="A7" s="166" t="s">
        <v>3</v>
      </c>
      <c r="B7" s="177"/>
      <c r="C7" s="217"/>
    </row>
    <row r="8" spans="1:3" ht="105.6" x14ac:dyDescent="0.25">
      <c r="A8" s="486" t="s">
        <v>836</v>
      </c>
      <c r="B8" s="497">
        <f>'План и исполнение'!HW37/1000</f>
        <v>0</v>
      </c>
      <c r="C8" s="497">
        <f>'План и исполнение'!HZ37/1000</f>
        <v>0</v>
      </c>
    </row>
    <row r="9" spans="1:3" ht="171.6" x14ac:dyDescent="0.25">
      <c r="A9" s="487" t="s">
        <v>837</v>
      </c>
      <c r="B9" s="497">
        <f>'План и исполнение'!DP37/1000</f>
        <v>2664</v>
      </c>
      <c r="C9" s="497">
        <f>'План и исполнение'!DX37/1000</f>
        <v>0</v>
      </c>
    </row>
    <row r="10" spans="1:3" ht="118.8" x14ac:dyDescent="0.25">
      <c r="A10" s="487" t="s">
        <v>838</v>
      </c>
      <c r="B10" s="497">
        <f>'План и исполнение'!DR37/1000</f>
        <v>363.6</v>
      </c>
      <c r="C10" s="497">
        <f>'План и исполнение'!DZ37/1000</f>
        <v>0</v>
      </c>
    </row>
    <row r="11" spans="1:3" ht="145.19999999999999" x14ac:dyDescent="0.25">
      <c r="A11" s="487" t="s">
        <v>839</v>
      </c>
      <c r="B11" s="497">
        <f>'План и исполнение'!PQ37/1000</f>
        <v>112160.6</v>
      </c>
      <c r="C11" s="497">
        <f>'План и исполнение'!PT37/1000</f>
        <v>32194.859629999999</v>
      </c>
    </row>
    <row r="12" spans="1:3" s="376" customFormat="1" ht="145.19999999999999" x14ac:dyDescent="0.25">
      <c r="A12" s="487" t="s">
        <v>840</v>
      </c>
      <c r="B12" s="497">
        <f>'План и исполнение'!EK37/1000</f>
        <v>11438.7</v>
      </c>
      <c r="C12" s="497">
        <f>'План и исполнение'!EP37/1000</f>
        <v>5670.9309699999994</v>
      </c>
    </row>
    <row r="13" spans="1:3" ht="118.8" x14ac:dyDescent="0.25">
      <c r="A13" s="487" t="s">
        <v>841</v>
      </c>
      <c r="B13" s="497">
        <f>'План и исполнение'!EM37/1000</f>
        <v>40000</v>
      </c>
      <c r="C13" s="497">
        <f>'План и исполнение'!ER37/1000</f>
        <v>0</v>
      </c>
    </row>
    <row r="14" spans="1:3" ht="105.6" x14ac:dyDescent="0.25">
      <c r="A14" s="487" t="s">
        <v>842</v>
      </c>
      <c r="B14" s="497">
        <f>'План и исполнение'!JM37/1000</f>
        <v>24211.7</v>
      </c>
      <c r="C14" s="497">
        <f>'План и исполнение'!JP37/1000</f>
        <v>9996.6487699999998</v>
      </c>
    </row>
    <row r="15" spans="1:3" ht="118.8" x14ac:dyDescent="0.25">
      <c r="A15" s="487" t="s">
        <v>843</v>
      </c>
      <c r="B15" s="497">
        <f>'План и исполнение'!EU37/1000</f>
        <v>25000</v>
      </c>
      <c r="C15" s="497">
        <f>'План и исполнение'!EX37/1000</f>
        <v>1371.13402</v>
      </c>
    </row>
    <row r="16" spans="1:3" ht="92.4" x14ac:dyDescent="0.25">
      <c r="A16" s="487" t="s">
        <v>844</v>
      </c>
      <c r="B16" s="497">
        <f>'План и исполнение'!GC37/1000</f>
        <v>16640.8</v>
      </c>
      <c r="C16" s="497">
        <f>'План и исполнение'!GF37/1000</f>
        <v>0</v>
      </c>
    </row>
    <row r="17" spans="1:3" ht="79.2" x14ac:dyDescent="0.25">
      <c r="A17" s="487" t="s">
        <v>845</v>
      </c>
      <c r="B17" s="497">
        <f>'План и исполнение'!EE37/1000</f>
        <v>4766</v>
      </c>
      <c r="C17" s="497">
        <f>'План и исполнение'!EH37/1000</f>
        <v>0</v>
      </c>
    </row>
    <row r="18" spans="1:3" ht="105.6" x14ac:dyDescent="0.25">
      <c r="A18" s="487" t="s">
        <v>846</v>
      </c>
      <c r="B18" s="497">
        <f>'План и исполнение'!FG37/1000</f>
        <v>454752.3</v>
      </c>
      <c r="C18" s="497">
        <f>'План и исполнение'!FJ37/1000</f>
        <v>145774.20591999998</v>
      </c>
    </row>
    <row r="19" spans="1:3" ht="66" x14ac:dyDescent="0.25">
      <c r="A19" s="487" t="s">
        <v>847</v>
      </c>
      <c r="B19" s="497">
        <f>'План и исполнение'!LI37/1000</f>
        <v>35042.6</v>
      </c>
      <c r="C19" s="497">
        <f>'План и исполнение'!LO37/1000</f>
        <v>9063.5995299999995</v>
      </c>
    </row>
    <row r="20" spans="1:3" ht="66" x14ac:dyDescent="0.25">
      <c r="A20" s="487" t="s">
        <v>848</v>
      </c>
      <c r="B20" s="497">
        <f>'План и исполнение'!FA37/1000</f>
        <v>141345.29999999999</v>
      </c>
      <c r="C20" s="497">
        <f>'План и исполнение'!FD37/1000</f>
        <v>15502.652769999999</v>
      </c>
    </row>
    <row r="21" spans="1:3" ht="66" x14ac:dyDescent="0.25">
      <c r="A21" s="487" t="s">
        <v>849</v>
      </c>
      <c r="B21" s="497">
        <f>'План и исполнение'!LG37/1000</f>
        <v>334532.5</v>
      </c>
      <c r="C21" s="497">
        <f>'План и исполнение'!LM37/1000</f>
        <v>334532.5</v>
      </c>
    </row>
    <row r="22" spans="1:3" ht="145.19999999999999" x14ac:dyDescent="0.25">
      <c r="A22" s="487" t="s">
        <v>850</v>
      </c>
      <c r="B22" s="497">
        <f>'План и исполнение'!JS38/1000</f>
        <v>45360</v>
      </c>
      <c r="C22" s="497">
        <f>'План и исполнение'!JX38/1000</f>
        <v>3569.8929499999999</v>
      </c>
    </row>
    <row r="23" spans="1:3" ht="92.4" x14ac:dyDescent="0.25">
      <c r="A23" s="487" t="s">
        <v>851</v>
      </c>
      <c r="B23" s="497">
        <f>'План и исполнение'!JU38/1000</f>
        <v>227.6</v>
      </c>
      <c r="C23" s="497">
        <f>'План и исполнение'!JZ38/1000</f>
        <v>0</v>
      </c>
    </row>
    <row r="24" spans="1:3" ht="66" x14ac:dyDescent="0.25">
      <c r="A24" s="487" t="s">
        <v>899</v>
      </c>
      <c r="B24" s="497">
        <f>'План и исполнение'!IC37/1000</f>
        <v>31626.400000000001</v>
      </c>
      <c r="C24" s="497">
        <f>'План и исполнение'!IF37/1000</f>
        <v>0</v>
      </c>
    </row>
    <row r="25" spans="1:3" ht="79.2" x14ac:dyDescent="0.25">
      <c r="A25" s="487" t="s">
        <v>885</v>
      </c>
      <c r="B25" s="497">
        <f>'План и исполнение'!IO38/1000</f>
        <v>18848.699990000001</v>
      </c>
      <c r="C25" s="497">
        <f>'План и исполнение'!IR38/1000</f>
        <v>13328.033360000003</v>
      </c>
    </row>
    <row r="26" spans="1:3" ht="79.2" x14ac:dyDescent="0.25">
      <c r="A26" s="487" t="s">
        <v>886</v>
      </c>
      <c r="B26" s="497">
        <f>'План и исполнение'!II37/1000</f>
        <v>4084</v>
      </c>
      <c r="C26" s="497">
        <f>'План и исполнение'!IL37/1000</f>
        <v>2568.0515800000003</v>
      </c>
    </row>
    <row r="27" spans="1:3" ht="66" x14ac:dyDescent="0.25">
      <c r="A27" s="487" t="s">
        <v>887</v>
      </c>
      <c r="B27" s="497">
        <f>'План и исполнение'!DI37/1000</f>
        <v>611225</v>
      </c>
      <c r="C27" s="497">
        <f>'План и исполнение'!DL37/1000</f>
        <v>132242.68739000001</v>
      </c>
    </row>
    <row r="28" spans="1:3" ht="145.19999999999999" x14ac:dyDescent="0.25">
      <c r="A28" s="487" t="s">
        <v>921</v>
      </c>
      <c r="B28" s="497">
        <f>'План и исполнение'!CN37/1000</f>
        <v>711.18845999999996</v>
      </c>
      <c r="C28" s="497">
        <f>'План и исполнение'!CP37/1000</f>
        <v>711.18845999999996</v>
      </c>
    </row>
    <row r="29" spans="1:3" ht="145.19999999999999" x14ac:dyDescent="0.25">
      <c r="A29" s="487" t="s">
        <v>888</v>
      </c>
      <c r="B29" s="497">
        <f>('План и исполнение'!CQ38)/1000</f>
        <v>540305.66139000002</v>
      </c>
      <c r="C29" s="497">
        <f>('План и исполнение'!CR38)/1000</f>
        <v>316742.20418</v>
      </c>
    </row>
    <row r="30" spans="1:3" ht="92.4" x14ac:dyDescent="0.25">
      <c r="A30" s="487" t="s">
        <v>889</v>
      </c>
      <c r="B30" s="497">
        <f>'План и исполнение'!GI38/1000</f>
        <v>0</v>
      </c>
      <c r="C30" s="497">
        <f>'План и исполнение'!GN38/1000</f>
        <v>0</v>
      </c>
    </row>
    <row r="31" spans="1:3" ht="118.8" x14ac:dyDescent="0.25">
      <c r="A31" s="487" t="s">
        <v>890</v>
      </c>
      <c r="B31" s="497">
        <f>'План и исполнение'!GK38/1000</f>
        <v>7186.2999999999993</v>
      </c>
      <c r="C31" s="497">
        <f>'План и исполнение'!GP38/1000</f>
        <v>1338.3363599999998</v>
      </c>
    </row>
    <row r="32" spans="1:3" ht="184.8" x14ac:dyDescent="0.25">
      <c r="A32" s="487" t="s">
        <v>891</v>
      </c>
      <c r="B32" s="497">
        <f>'План и исполнение'!MD37/1000</f>
        <v>0</v>
      </c>
      <c r="C32" s="497">
        <f>'План и исполнение'!MH37/1000</f>
        <v>0</v>
      </c>
    </row>
    <row r="33" spans="1:3" ht="184.8" x14ac:dyDescent="0.25">
      <c r="A33" s="487" t="s">
        <v>892</v>
      </c>
      <c r="B33" s="497">
        <f>'План и исполнение'!LU37/1000</f>
        <v>0</v>
      </c>
      <c r="C33" s="497">
        <f>'План и исполнение'!LZ37/1000</f>
        <v>0</v>
      </c>
    </row>
    <row r="34" spans="1:3" ht="132" x14ac:dyDescent="0.25">
      <c r="A34" s="487" t="s">
        <v>893</v>
      </c>
      <c r="B34" s="497">
        <f>'План и исполнение'!FM38/1000</f>
        <v>0</v>
      </c>
      <c r="C34" s="497">
        <f>'План и исполнение'!FP38/1000</f>
        <v>0</v>
      </c>
    </row>
    <row r="35" spans="1:3" ht="79.2" x14ac:dyDescent="0.25">
      <c r="A35" s="487" t="s">
        <v>894</v>
      </c>
      <c r="B35" s="497">
        <f>'План и исполнение'!MO38/1000</f>
        <v>319736.5</v>
      </c>
      <c r="C35" s="497">
        <f>'План и исполнение'!MS38/1000</f>
        <v>58333.82258</v>
      </c>
    </row>
    <row r="36" spans="1:3" ht="105.6" x14ac:dyDescent="0.25">
      <c r="A36" s="487" t="s">
        <v>895</v>
      </c>
      <c r="B36" s="497">
        <f>'План и исполнение'!OA37/1000</f>
        <v>20041.8</v>
      </c>
      <c r="C36" s="497">
        <f>'План и исполнение'!OH37/1000</f>
        <v>0</v>
      </c>
    </row>
    <row r="37" spans="1:3" ht="79.2" x14ac:dyDescent="0.25">
      <c r="A37" s="487" t="s">
        <v>896</v>
      </c>
      <c r="B37" s="497">
        <f>'План и исполнение'!OC37/1000</f>
        <v>83595.199999999997</v>
      </c>
      <c r="C37" s="497">
        <f>'План и исполнение'!OJ37/1000</f>
        <v>5235.0681599999989</v>
      </c>
    </row>
    <row r="38" spans="1:3" ht="79.2" x14ac:dyDescent="0.25">
      <c r="A38" s="487" t="s">
        <v>897</v>
      </c>
      <c r="B38" s="497">
        <f>'План и исполнение'!PW38/1000</f>
        <v>9594.7000000000007</v>
      </c>
      <c r="C38" s="497">
        <f>'План и исполнение'!PZ38/1000</f>
        <v>0</v>
      </c>
    </row>
    <row r="39" spans="1:3" ht="79.2" x14ac:dyDescent="0.25">
      <c r="A39" s="487" t="s">
        <v>898</v>
      </c>
      <c r="B39" s="497">
        <f>'План и исполнение'!NU38/1000</f>
        <v>283076.3</v>
      </c>
      <c r="C39" s="497">
        <f>'План и исполнение'!NX38/1000</f>
        <v>12418.83618</v>
      </c>
    </row>
    <row r="40" spans="1:3" ht="15.6" x14ac:dyDescent="0.25">
      <c r="A40" s="487"/>
      <c r="B40" s="497"/>
      <c r="C40" s="497"/>
    </row>
    <row r="41" spans="1:3" ht="15.6" x14ac:dyDescent="0.25">
      <c r="A41" s="194" t="s">
        <v>158</v>
      </c>
      <c r="B41" s="498">
        <f>SUM(B7:B40)</f>
        <v>3178537.4498399999</v>
      </c>
      <c r="C41" s="498">
        <f>SUM(C7:C40)</f>
        <v>1100594.6528099999</v>
      </c>
    </row>
    <row r="42" spans="1:3" ht="15.6" x14ac:dyDescent="0.25">
      <c r="A42" s="167"/>
      <c r="B42" s="497"/>
      <c r="C42" s="497"/>
    </row>
    <row r="43" spans="1:3" ht="15.6" x14ac:dyDescent="0.25">
      <c r="A43" s="166" t="s">
        <v>155</v>
      </c>
      <c r="B43" s="497"/>
      <c r="C43" s="497"/>
    </row>
    <row r="44" spans="1:3" ht="105.6" x14ac:dyDescent="0.25">
      <c r="A44" s="487" t="s">
        <v>213</v>
      </c>
      <c r="B44" s="497">
        <f>'План и исполнение'!RQ37/1000</f>
        <v>0</v>
      </c>
      <c r="C44" s="497">
        <f>'План и исполнение'!RR37/1000</f>
        <v>0</v>
      </c>
    </row>
    <row r="45" spans="1:3" ht="79.2" x14ac:dyDescent="0.25">
      <c r="A45" s="487" t="s">
        <v>296</v>
      </c>
      <c r="B45" s="497">
        <f>'План и исполнение'!RS37/1000</f>
        <v>8573.6</v>
      </c>
      <c r="C45" s="497">
        <f>'План и исполнение'!RT37/1000</f>
        <v>8090.9279999999999</v>
      </c>
    </row>
    <row r="46" spans="1:3" ht="92.4" x14ac:dyDescent="0.25">
      <c r="A46" s="487" t="s">
        <v>307</v>
      </c>
      <c r="B46" s="497">
        <f>'План и исполнение'!RU37/1000</f>
        <v>11813.2</v>
      </c>
      <c r="C46" s="497">
        <f>'План и исполнение'!RV37/1000</f>
        <v>11462.147999999999</v>
      </c>
    </row>
    <row r="47" spans="1:3" ht="92.4" x14ac:dyDescent="0.25">
      <c r="A47" s="487" t="s">
        <v>655</v>
      </c>
      <c r="B47" s="497">
        <f>'План и исполнение'!SB37/1000</f>
        <v>63041</v>
      </c>
      <c r="C47" s="497">
        <f>'План и исполнение'!SF37/1000</f>
        <v>31910.161749999999</v>
      </c>
    </row>
    <row r="48" spans="1:3" ht="79.2" x14ac:dyDescent="0.25">
      <c r="A48" s="487" t="s">
        <v>917</v>
      </c>
      <c r="B48" s="497">
        <f>'План и исполнение'!SA37/1000</f>
        <v>840</v>
      </c>
      <c r="C48" s="497">
        <f>'План и исполнение'!SE37/1000</f>
        <v>0</v>
      </c>
    </row>
    <row r="49" spans="1:3" ht="52.8" x14ac:dyDescent="0.25">
      <c r="A49" s="487" t="s">
        <v>914</v>
      </c>
      <c r="B49" s="497">
        <f>'План и исполнение'!RM37/1000</f>
        <v>28803</v>
      </c>
      <c r="C49" s="497">
        <f>'План и исполнение'!RN37/1000</f>
        <v>12567.161530000001</v>
      </c>
    </row>
    <row r="50" spans="1:3" ht="66" x14ac:dyDescent="0.25">
      <c r="A50" s="487" t="s">
        <v>915</v>
      </c>
      <c r="B50" s="497">
        <f>'План и исполнение'!RO37/1000</f>
        <v>143</v>
      </c>
      <c r="C50" s="497">
        <f>'План и исполнение'!RP37/1000</f>
        <v>5.1840000000000002</v>
      </c>
    </row>
    <row r="51" spans="1:3" ht="15.6" x14ac:dyDescent="0.25">
      <c r="A51" s="487" t="s">
        <v>916</v>
      </c>
      <c r="B51" s="497">
        <f>'План и исполнение'!RW37/1000</f>
        <v>0</v>
      </c>
      <c r="C51" s="497">
        <f>'План и исполнение'!RX37/1000</f>
        <v>0</v>
      </c>
    </row>
    <row r="52" spans="1:3" ht="15.6" x14ac:dyDescent="0.25">
      <c r="A52" s="194" t="s">
        <v>158</v>
      </c>
      <c r="B52" s="498">
        <f>SUM(B44:B51)</f>
        <v>113213.8</v>
      </c>
      <c r="C52" s="498">
        <f>SUM(C44:C51)</f>
        <v>64035.583279999999</v>
      </c>
    </row>
    <row r="53" spans="1:3" ht="15.6" x14ac:dyDescent="0.25">
      <c r="A53" s="487"/>
      <c r="B53" s="497"/>
      <c r="C53" s="497"/>
    </row>
    <row r="54" spans="1:3" ht="15.6" x14ac:dyDescent="0.25">
      <c r="A54" s="166" t="s">
        <v>127</v>
      </c>
      <c r="B54" s="497"/>
      <c r="C54" s="497"/>
    </row>
    <row r="55" spans="1:3" ht="79.2" x14ac:dyDescent="0.25">
      <c r="A55" s="486" t="s">
        <v>867</v>
      </c>
      <c r="B55" s="497">
        <f>'План и исполнение'!SK37/1000</f>
        <v>0</v>
      </c>
      <c r="C55" s="497">
        <f>'План и исполнение'!SN37/1000</f>
        <v>0</v>
      </c>
    </row>
    <row r="56" spans="1:3" ht="105.6" x14ac:dyDescent="0.25">
      <c r="A56" s="487" t="s">
        <v>868</v>
      </c>
      <c r="B56" s="497">
        <f>'План и исполнение'!VC37/1000</f>
        <v>0</v>
      </c>
      <c r="C56" s="497">
        <f>'План и исполнение'!VG37/1000</f>
        <v>0</v>
      </c>
    </row>
    <row r="57" spans="1:3" ht="52.8" x14ac:dyDescent="0.25">
      <c r="A57" s="487" t="s">
        <v>869</v>
      </c>
      <c r="B57" s="497">
        <f>'План и исполнение'!UW37/1000</f>
        <v>10000</v>
      </c>
      <c r="C57" s="497">
        <f>'План и исполнение'!UZ37/1000</f>
        <v>3876.7565600000003</v>
      </c>
    </row>
    <row r="58" spans="1:3" ht="52.8" x14ac:dyDescent="0.25">
      <c r="A58" s="487" t="s">
        <v>870</v>
      </c>
      <c r="B58" s="497">
        <f>'План и исполнение'!UQ37/1000</f>
        <v>1000</v>
      </c>
      <c r="C58" s="497">
        <f>'План и исполнение'!UT37/1000</f>
        <v>1000</v>
      </c>
    </row>
    <row r="59" spans="1:3" ht="79.2" x14ac:dyDescent="0.25">
      <c r="A59" s="482" t="s">
        <v>871</v>
      </c>
      <c r="B59" s="497">
        <f>'План и исполнение'!SP38/1000</f>
        <v>240000</v>
      </c>
      <c r="C59" s="497">
        <f>'План и исполнение'!SR38/1000</f>
        <v>39903.656670000004</v>
      </c>
    </row>
    <row r="60" spans="1:3" ht="118.8" x14ac:dyDescent="0.25">
      <c r="A60" s="487" t="s">
        <v>872</v>
      </c>
      <c r="B60" s="497">
        <f>'План и исполнение'!TB38/1000</f>
        <v>861087.45700000005</v>
      </c>
      <c r="C60" s="497">
        <f>'План и исполнение'!TD38/1000</f>
        <v>147619.79741000003</v>
      </c>
    </row>
    <row r="61" spans="1:3" ht="92.4" x14ac:dyDescent="0.25">
      <c r="A61" s="487" t="s">
        <v>873</v>
      </c>
      <c r="B61" s="497">
        <f>'План и исполнение'!TN38/1000</f>
        <v>120000</v>
      </c>
      <c r="C61" s="497">
        <f>'План и исполнение'!TP38/1000</f>
        <v>0</v>
      </c>
    </row>
    <row r="62" spans="1:3" ht="92.4" x14ac:dyDescent="0.25">
      <c r="A62" s="487" t="s">
        <v>874</v>
      </c>
      <c r="B62" s="497">
        <f>'План и исполнение'!UA38/1000</f>
        <v>134500</v>
      </c>
      <c r="C62" s="497">
        <f>'План и исполнение'!UD38/1000</f>
        <v>749.9</v>
      </c>
    </row>
    <row r="63" spans="1:3" ht="15.6" x14ac:dyDescent="0.25">
      <c r="A63" s="166"/>
      <c r="B63" s="497"/>
      <c r="C63" s="497"/>
    </row>
    <row r="64" spans="1:3" ht="15.6" x14ac:dyDescent="0.25">
      <c r="A64" s="194" t="s">
        <v>158</v>
      </c>
      <c r="B64" s="498">
        <f>SUM(B55:B63)</f>
        <v>1366587.4569999999</v>
      </c>
      <c r="C64" s="498">
        <f>SUM(C55:C63)</f>
        <v>193150.11064000003</v>
      </c>
    </row>
    <row r="65" spans="1:3" ht="15.6" x14ac:dyDescent="0.25">
      <c r="A65" s="487"/>
      <c r="B65" s="497"/>
      <c r="C65" s="497"/>
    </row>
    <row r="66" spans="1:3" ht="15.6" x14ac:dyDescent="0.25">
      <c r="A66" s="487"/>
      <c r="B66" s="497"/>
      <c r="C66" s="497"/>
    </row>
    <row r="67" spans="1:3" ht="15.6" x14ac:dyDescent="0.25">
      <c r="A67" s="145" t="s">
        <v>136</v>
      </c>
      <c r="B67" s="499">
        <f>B52+B41+B64</f>
        <v>4658338.7068399992</v>
      </c>
      <c r="C67" s="499">
        <f>C52+C41+C64</f>
        <v>1357780.3467299999</v>
      </c>
    </row>
  </sheetData>
  <mergeCells count="2">
    <mergeCell ref="A2:C2"/>
    <mergeCell ref="A3:C3"/>
  </mergeCells>
  <phoneticPr fontId="0" type="noConversion"/>
  <pageMargins left="0.78740157480314965" right="0.39370078740157483" top="0.78740157480314965" bottom="0.78740157480314965" header="0.51181102362204722" footer="0.51181102362204722"/>
  <pageSetup paperSize="9" scale="80" fitToHeight="8" orientation="portrait" r:id="rId1"/>
  <headerFooter alignWithMargins="0">
    <oddFooter>&amp;R&amp;Z&amp;F&amp;A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pageSetUpPr fitToPage="1"/>
  </sheetPr>
  <dimension ref="A2:I22"/>
  <sheetViews>
    <sheetView zoomScale="55" zoomScaleNormal="55" workbookViewId="0">
      <pane xSplit="1" ySplit="9" topLeftCell="B10" activePane="bottomRight" state="frozen"/>
      <selection pane="topRight" activeCell="B1" sqref="B1"/>
      <selection pane="bottomLeft" activeCell="A9" sqref="A9"/>
      <selection pane="bottomRight" activeCell="G17" sqref="G17"/>
    </sheetView>
  </sheetViews>
  <sheetFormatPr defaultColWidth="8.88671875" defaultRowHeight="13.2" x14ac:dyDescent="0.25"/>
  <cols>
    <col min="1" max="1" width="19.109375" style="358" customWidth="1"/>
    <col min="2" max="3" width="21.5546875" style="358" bestFit="1" customWidth="1"/>
    <col min="4" max="4" width="20.44140625" style="358" customWidth="1"/>
    <col min="5" max="5" width="19.5546875" style="358" bestFit="1" customWidth="1"/>
    <col min="6" max="7" width="21.5546875" style="358" bestFit="1" customWidth="1"/>
    <col min="8" max="8" width="19.88671875" style="358" customWidth="1"/>
    <col min="9" max="9" width="18.5546875" style="358" bestFit="1" customWidth="1"/>
    <col min="10" max="16384" width="8.88671875" style="358"/>
  </cols>
  <sheetData>
    <row r="2" spans="1:9" ht="15.6" x14ac:dyDescent="0.25">
      <c r="A2" s="1907" t="s">
        <v>464</v>
      </c>
      <c r="B2" s="1907"/>
      <c r="C2" s="1907"/>
      <c r="D2" s="1907"/>
      <c r="E2" s="1907"/>
      <c r="F2" s="1907"/>
      <c r="G2" s="1907"/>
      <c r="H2" s="1907"/>
      <c r="I2" s="1907"/>
    </row>
    <row r="3" spans="1:9" ht="15.6" x14ac:dyDescent="0.25">
      <c r="A3" s="1908" t="str">
        <f>'Район  и  поселения'!E3</f>
        <v>ПО  СОСТОЯНИЮ  НА  1  ИЮЛЯ  2020  ГОДА</v>
      </c>
      <c r="B3" s="1908"/>
      <c r="C3" s="1908"/>
      <c r="D3" s="1908"/>
      <c r="E3" s="1908"/>
      <c r="F3" s="1908"/>
      <c r="G3" s="1908"/>
      <c r="H3" s="1908"/>
      <c r="I3" s="1908"/>
    </row>
    <row r="5" spans="1:9" x14ac:dyDescent="0.25">
      <c r="H5" s="358" t="s">
        <v>20</v>
      </c>
    </row>
    <row r="6" spans="1:9" x14ac:dyDescent="0.25">
      <c r="A6" s="1909" t="s">
        <v>159</v>
      </c>
      <c r="B6" s="1903" t="s">
        <v>13</v>
      </c>
      <c r="C6" s="1904"/>
      <c r="D6" s="1904"/>
      <c r="E6" s="1905"/>
      <c r="F6" s="1903" t="s">
        <v>14</v>
      </c>
      <c r="G6" s="1904"/>
      <c r="H6" s="1904"/>
      <c r="I6" s="1905"/>
    </row>
    <row r="7" spans="1:9" x14ac:dyDescent="0.25">
      <c r="A7" s="1909"/>
      <c r="B7" s="1909" t="s">
        <v>1</v>
      </c>
      <c r="C7" s="1906" t="s">
        <v>38</v>
      </c>
      <c r="D7" s="1906"/>
      <c r="E7" s="1906"/>
      <c r="F7" s="1906" t="s">
        <v>1</v>
      </c>
      <c r="G7" s="1906" t="s">
        <v>38</v>
      </c>
      <c r="H7" s="1906"/>
      <c r="I7" s="1906"/>
    </row>
    <row r="8" spans="1:9" x14ac:dyDescent="0.25">
      <c r="A8" s="1909"/>
      <c r="B8" s="1909"/>
      <c r="C8" s="1910" t="s">
        <v>24</v>
      </c>
      <c r="D8" s="174" t="s">
        <v>98</v>
      </c>
      <c r="E8" s="1910" t="s">
        <v>25</v>
      </c>
      <c r="F8" s="1906"/>
      <c r="G8" s="1910" t="s">
        <v>24</v>
      </c>
      <c r="H8" s="174" t="s">
        <v>98</v>
      </c>
      <c r="I8" s="1910" t="s">
        <v>25</v>
      </c>
    </row>
    <row r="9" spans="1:9" ht="45.6" customHeight="1" x14ac:dyDescent="0.25">
      <c r="A9" s="1909"/>
      <c r="B9" s="1909"/>
      <c r="C9" s="1911"/>
      <c r="D9" s="174" t="s">
        <v>58</v>
      </c>
      <c r="E9" s="1911"/>
      <c r="F9" s="1906"/>
      <c r="G9" s="1911"/>
      <c r="H9" s="174" t="s">
        <v>58</v>
      </c>
      <c r="I9" s="1911"/>
    </row>
    <row r="10" spans="1:9" ht="13.8" x14ac:dyDescent="0.25">
      <c r="A10" s="178"/>
      <c r="B10" s="359"/>
      <c r="C10" s="359"/>
      <c r="D10" s="359"/>
      <c r="E10" s="359"/>
      <c r="F10" s="359"/>
      <c r="G10" s="359"/>
      <c r="H10" s="359"/>
      <c r="I10" s="359"/>
    </row>
    <row r="11" spans="1:9" ht="79.2" x14ac:dyDescent="0.25">
      <c r="A11" s="175" t="s">
        <v>695</v>
      </c>
      <c r="B11" s="447">
        <f>'[2]Исполнение  по  дотации'!$B$38*1000</f>
        <v>2976947206</v>
      </c>
      <c r="C11" s="447">
        <f>'[2]Исполнение  по  дотации'!$B$40*1000</f>
        <v>2976947206</v>
      </c>
      <c r="D11" s="447"/>
      <c r="E11" s="447">
        <f>'[2]Исполнение  по  дотации'!$B$41*1000</f>
        <v>0</v>
      </c>
      <c r="F11" s="447">
        <f>'[2]Исполнение  по  дотации'!$E$38*1000</f>
        <v>1793436155.1299999</v>
      </c>
      <c r="G11" s="447">
        <f>'[2]Исполнение  по  дотации'!$E$40*1000</f>
        <v>1793436155.1299999</v>
      </c>
      <c r="H11" s="447"/>
      <c r="I11" s="447">
        <f>'[2]Исполнение  по  дотации'!$E$41*1000</f>
        <v>0</v>
      </c>
    </row>
    <row r="12" spans="1:9" ht="13.8" x14ac:dyDescent="0.25">
      <c r="A12" s="175"/>
      <c r="B12" s="447"/>
      <c r="C12" s="447"/>
      <c r="D12" s="447"/>
      <c r="E12" s="447"/>
      <c r="F12" s="447"/>
      <c r="G12" s="447"/>
      <c r="H12" s="447"/>
      <c r="I12" s="447"/>
    </row>
    <row r="13" spans="1:9" ht="105.6" x14ac:dyDescent="0.25">
      <c r="A13" s="175" t="s">
        <v>690</v>
      </c>
      <c r="B13" s="447">
        <f>'[2]Исполнение  по  субсидии'!$B$39*1000</f>
        <v>6405091218.1599998</v>
      </c>
      <c r="C13" s="447">
        <f>'[2]Исполнение  по  субсидии'!$B$44*1000</f>
        <v>6405091218.1599998</v>
      </c>
      <c r="D13" s="447">
        <f>'[2]Исполнение  по  субсидии'!$B$41*1000</f>
        <v>3178537449.8400002</v>
      </c>
      <c r="E13" s="447">
        <f>'[2]Исполнение  по  субсидии'!$B$45*1000</f>
        <v>0</v>
      </c>
      <c r="F13" s="447">
        <f>'[2]Исполнение  по  субсидии'!$C$39*1000</f>
        <v>1820130796.2700002</v>
      </c>
      <c r="G13" s="447">
        <f>'[2]Исполнение  по  субсидии'!$C$44*1000</f>
        <v>1820130796.2700002</v>
      </c>
      <c r="H13" s="447">
        <f>'[2]Исполнение  по  субсидии'!$C$41*1000</f>
        <v>1100594652.8099999</v>
      </c>
      <c r="I13" s="447">
        <f>'[2]Исполнение  по  субсидии'!$C$45*1000</f>
        <v>0</v>
      </c>
    </row>
    <row r="14" spans="1:9" ht="13.8" x14ac:dyDescent="0.25">
      <c r="A14" s="175"/>
      <c r="B14" s="447"/>
      <c r="C14" s="447"/>
      <c r="D14" s="447"/>
      <c r="E14" s="447"/>
      <c r="F14" s="447"/>
      <c r="G14" s="447"/>
      <c r="H14" s="447"/>
      <c r="I14" s="447"/>
    </row>
    <row r="15" spans="1:9" ht="79.2" x14ac:dyDescent="0.25">
      <c r="A15" s="175" t="s">
        <v>688</v>
      </c>
      <c r="B15" s="447">
        <f>'[2]Исполнение  по  субвенции'!$B$39*1000</f>
        <v>11267783454</v>
      </c>
      <c r="C15" s="447">
        <f>'[2]Исполнение  по  субвенции'!$B$44*1000</f>
        <v>11127927594</v>
      </c>
      <c r="D15" s="447">
        <f>'[2]Исполнение  по  субвенции'!$B$41*1000</f>
        <v>113213800</v>
      </c>
      <c r="E15" s="447">
        <f>'[2]Исполнение  по  субвенции'!$B$45*1000</f>
        <v>139855860</v>
      </c>
      <c r="F15" s="447">
        <f>'[2]Исполнение  по  субвенции'!$G$39*1000</f>
        <v>6640855519.2799997</v>
      </c>
      <c r="G15" s="447">
        <f>'[2]Исполнение  по  субвенции'!$G$44*1000</f>
        <v>6566878482</v>
      </c>
      <c r="H15" s="447">
        <f>'[2]Исполнение  по  субвенции'!$G$41*1000</f>
        <v>64035583.280000001</v>
      </c>
      <c r="I15" s="447">
        <f>'[2]Исполнение  по  субвенции'!$G$45*1000</f>
        <v>73977037.279999986</v>
      </c>
    </row>
    <row r="16" spans="1:9" ht="13.8" x14ac:dyDescent="0.25">
      <c r="A16" s="175"/>
      <c r="B16" s="447"/>
      <c r="C16" s="447"/>
      <c r="D16" s="447"/>
      <c r="E16" s="447"/>
      <c r="F16" s="447"/>
      <c r="G16" s="447"/>
      <c r="H16" s="447"/>
      <c r="I16" s="447"/>
    </row>
    <row r="17" spans="1:9" ht="39.6" x14ac:dyDescent="0.25">
      <c r="A17" s="175" t="s">
        <v>26</v>
      </c>
      <c r="B17" s="447">
        <f>'[2]Исполнение  по  иным  МБТ'!$B$37*1000</f>
        <v>1454752331.4400001</v>
      </c>
      <c r="C17" s="447">
        <f>'[2]Исполнение  по  иным  МБТ'!$B$42*1000</f>
        <v>1454752331.4400001</v>
      </c>
      <c r="D17" s="447">
        <f>'[2]Исполнение  по  иным  МБТ'!$B$39*1000</f>
        <v>1366587457</v>
      </c>
      <c r="E17" s="447">
        <f>'[2]Исполнение  по  иным  МБТ'!$B$43*1000</f>
        <v>0</v>
      </c>
      <c r="F17" s="447">
        <f>'[2]Исполнение  по  иным  МБТ'!$G$37*1000</f>
        <v>193374985.08000001</v>
      </c>
      <c r="G17" s="447">
        <f>'[2]Исполнение  по  иным  МБТ'!$G$42*1000</f>
        <v>193374985.08000001</v>
      </c>
      <c r="H17" s="447">
        <f>'[2]Исполнение  по  иным  МБТ'!$G$39*1000</f>
        <v>193150110.64000002</v>
      </c>
      <c r="I17" s="447">
        <f>'[2]Исполнение  по  иным  МБТ'!$G$43*1000</f>
        <v>0</v>
      </c>
    </row>
    <row r="18" spans="1:9" ht="13.8" x14ac:dyDescent="0.25">
      <c r="A18" s="175"/>
      <c r="B18" s="447"/>
      <c r="C18" s="447"/>
      <c r="D18" s="447"/>
      <c r="E18" s="447"/>
      <c r="F18" s="447"/>
      <c r="G18" s="447"/>
      <c r="H18" s="447"/>
      <c r="I18" s="447"/>
    </row>
    <row r="19" spans="1:9" ht="13.8" x14ac:dyDescent="0.25">
      <c r="A19" s="360" t="s">
        <v>136</v>
      </c>
      <c r="B19" s="362">
        <f t="shared" ref="B19:I19" si="0">SUM(B11:B18)</f>
        <v>22104574209.599998</v>
      </c>
      <c r="C19" s="362">
        <f t="shared" si="0"/>
        <v>21964718349.599998</v>
      </c>
      <c r="D19" s="362">
        <f t="shared" si="0"/>
        <v>4658338706.8400002</v>
      </c>
      <c r="E19" s="362">
        <f t="shared" si="0"/>
        <v>139855860</v>
      </c>
      <c r="F19" s="362">
        <f t="shared" si="0"/>
        <v>10447797455.76</v>
      </c>
      <c r="G19" s="362">
        <f t="shared" si="0"/>
        <v>10373820418.48</v>
      </c>
      <c r="H19" s="362">
        <f t="shared" si="0"/>
        <v>1357780346.73</v>
      </c>
      <c r="I19" s="362">
        <f t="shared" si="0"/>
        <v>73977037.279999986</v>
      </c>
    </row>
    <row r="20" spans="1:9" ht="13.8" x14ac:dyDescent="0.25">
      <c r="A20" s="364" t="s">
        <v>38</v>
      </c>
      <c r="B20" s="365"/>
      <c r="C20" s="365"/>
      <c r="D20" s="365"/>
      <c r="E20" s="365"/>
      <c r="F20" s="365"/>
      <c r="G20" s="365"/>
      <c r="H20" s="365"/>
      <c r="I20" s="365"/>
    </row>
    <row r="21" spans="1:9" ht="27.6" x14ac:dyDescent="0.25">
      <c r="A21" s="144" t="s">
        <v>74</v>
      </c>
      <c r="B21" s="766">
        <f t="shared" ref="B21:I21" si="1">B19-B11</f>
        <v>19127627003.599998</v>
      </c>
      <c r="C21" s="766">
        <f t="shared" si="1"/>
        <v>18987771143.599998</v>
      </c>
      <c r="D21" s="766">
        <f t="shared" si="1"/>
        <v>4658338706.8400002</v>
      </c>
      <c r="E21" s="766">
        <f t="shared" si="1"/>
        <v>139855860</v>
      </c>
      <c r="F21" s="766">
        <f t="shared" si="1"/>
        <v>8654361300.6300011</v>
      </c>
      <c r="G21" s="766">
        <f t="shared" si="1"/>
        <v>8580384263.3499994</v>
      </c>
      <c r="H21" s="766">
        <f t="shared" si="1"/>
        <v>1357780346.73</v>
      </c>
      <c r="I21" s="766">
        <f t="shared" si="1"/>
        <v>73977037.279999986</v>
      </c>
    </row>
    <row r="22" spans="1:9" s="363" customFormat="1" x14ac:dyDescent="0.25">
      <c r="B22" s="361">
        <f>B19-'План и исполнение'!B37</f>
        <v>0</v>
      </c>
      <c r="C22" s="361">
        <f>B19-C19-E19</f>
        <v>0</v>
      </c>
      <c r="D22" s="361"/>
      <c r="F22" s="361">
        <f>F19-'План и исполнение'!C37</f>
        <v>0</v>
      </c>
      <c r="G22" s="361">
        <f>F19-G19-I19</f>
        <v>7.0035457611083984E-7</v>
      </c>
      <c r="H22" s="361"/>
    </row>
  </sheetData>
  <mergeCells count="13">
    <mergeCell ref="F6:I6"/>
    <mergeCell ref="F7:F9"/>
    <mergeCell ref="G7:I7"/>
    <mergeCell ref="A2:I2"/>
    <mergeCell ref="A3:I3"/>
    <mergeCell ref="B7:B9"/>
    <mergeCell ref="C7:E7"/>
    <mergeCell ref="A6:A9"/>
    <mergeCell ref="B6:E6"/>
    <mergeCell ref="C8:C9"/>
    <mergeCell ref="E8:E9"/>
    <mergeCell ref="G8:G9"/>
    <mergeCell ref="I8:I9"/>
  </mergeCells>
  <phoneticPr fontId="58" type="noConversion"/>
  <pageMargins left="0.78740157480314965" right="0.39370078740157483" top="0.78740157480314965" bottom="0.78740157480314965" header="0.51181102362204722" footer="0.51181102362204722"/>
  <pageSetup paperSize="9" scale="74" orientation="landscape" r:id="rId1"/>
  <headerFooter alignWithMargins="0">
    <oddFooter>&amp;R&amp;Z&amp;F&amp;A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pageSetUpPr fitToPage="1"/>
  </sheetPr>
  <dimension ref="A2:E28"/>
  <sheetViews>
    <sheetView zoomScale="69" zoomScaleNormal="69" workbookViewId="0">
      <pane xSplit="1" ySplit="6" topLeftCell="B7" activePane="bottomRight" state="frozen"/>
      <selection pane="topRight" activeCell="B1" sqref="B1"/>
      <selection pane="bottomLeft" activeCell="A9" sqref="A9"/>
      <selection pane="bottomRight" activeCell="D15" sqref="D15"/>
    </sheetView>
  </sheetViews>
  <sheetFormatPr defaultColWidth="8.88671875" defaultRowHeight="13.2" x14ac:dyDescent="0.25"/>
  <cols>
    <col min="1" max="1" width="57.109375" style="358" customWidth="1"/>
    <col min="2" max="2" width="22.44140625" style="358" customWidth="1"/>
    <col min="3" max="3" width="21.88671875" style="358" customWidth="1"/>
    <col min="4" max="4" width="21.6640625" style="358" customWidth="1"/>
    <col min="5" max="5" width="21.109375" style="358" customWidth="1"/>
    <col min="6" max="16384" width="8.88671875" style="358"/>
  </cols>
  <sheetData>
    <row r="2" spans="1:5" ht="15.6" x14ac:dyDescent="0.25">
      <c r="A2" s="1907" t="s">
        <v>464</v>
      </c>
      <c r="B2" s="1907"/>
      <c r="C2" s="1907"/>
      <c r="D2" s="1907"/>
      <c r="E2" s="1907"/>
    </row>
    <row r="3" spans="1:5" ht="15.6" x14ac:dyDescent="0.25">
      <c r="A3" s="1908" t="str">
        <f>'Район  и  поселения'!E3</f>
        <v>ПО  СОСТОЯНИЮ  НА  1  ИЮЛЯ  2020  ГОДА</v>
      </c>
      <c r="B3" s="1908"/>
      <c r="C3" s="1908"/>
      <c r="D3" s="1908"/>
      <c r="E3" s="1908"/>
    </row>
    <row r="5" spans="1:5" x14ac:dyDescent="0.25">
      <c r="D5" s="358" t="s">
        <v>20</v>
      </c>
    </row>
    <row r="6" spans="1:5" ht="26.4" x14ac:dyDescent="0.25">
      <c r="A6" s="179" t="s">
        <v>159</v>
      </c>
      <c r="B6" s="183" t="s">
        <v>13</v>
      </c>
      <c r="C6" s="183" t="s">
        <v>161</v>
      </c>
      <c r="D6" s="183" t="s">
        <v>4</v>
      </c>
      <c r="E6" s="183" t="s">
        <v>160</v>
      </c>
    </row>
    <row r="7" spans="1:5" ht="13.8" x14ac:dyDescent="0.25">
      <c r="A7" s="178"/>
      <c r="B7" s="178"/>
      <c r="C7" s="359"/>
      <c r="D7" s="359"/>
      <c r="E7" s="359"/>
    </row>
    <row r="8" spans="1:5" ht="26.4" x14ac:dyDescent="0.25">
      <c r="A8" s="371" t="s">
        <v>696</v>
      </c>
      <c r="B8" s="372">
        <f>C8+'Нераспределенная  дотация'!E15</f>
        <v>3231815300</v>
      </c>
      <c r="C8" s="448">
        <f>'[2]Исполнение  по  дотации'!$B$38*1000</f>
        <v>2976947206</v>
      </c>
      <c r="D8" s="448">
        <f>'[2]Исполнение  по  дотации'!$E$38*1000</f>
        <v>1793436155.1299999</v>
      </c>
      <c r="E8" s="372">
        <f>B8-C8</f>
        <v>254868094</v>
      </c>
    </row>
    <row r="9" spans="1:5" s="375" customFormat="1" ht="13.8" x14ac:dyDescent="0.25">
      <c r="A9" s="373" t="s">
        <v>38</v>
      </c>
      <c r="B9" s="374">
        <f>B8-B10-B11</f>
        <v>0</v>
      </c>
      <c r="C9" s="374">
        <f t="shared" ref="C9:E9" si="0">C8-C10-C11</f>
        <v>0</v>
      </c>
      <c r="D9" s="374">
        <f t="shared" si="0"/>
        <v>0</v>
      </c>
      <c r="E9" s="374">
        <f t="shared" si="0"/>
        <v>0</v>
      </c>
    </row>
    <row r="10" spans="1:5" s="375" customFormat="1" ht="26.4" x14ac:dyDescent="0.25">
      <c r="A10" s="373" t="s">
        <v>142</v>
      </c>
      <c r="B10" s="374">
        <f>C10</f>
        <v>2191815300</v>
      </c>
      <c r="C10" s="374">
        <f>'План и исполнение'!F38</f>
        <v>2191815300</v>
      </c>
      <c r="D10" s="374">
        <f>'План и исполнение'!G38</f>
        <v>1360887801.8499999</v>
      </c>
      <c r="E10" s="374">
        <f>B10-C10</f>
        <v>0</v>
      </c>
    </row>
    <row r="11" spans="1:5" s="376" customFormat="1" ht="13.8" x14ac:dyDescent="0.25">
      <c r="A11" s="373" t="s">
        <v>143</v>
      </c>
      <c r="B11" s="374">
        <f>B8-B10</f>
        <v>1040000000</v>
      </c>
      <c r="C11" s="374">
        <f>C8-C10</f>
        <v>785131906</v>
      </c>
      <c r="D11" s="374">
        <f>D8-D10</f>
        <v>432548353.27999997</v>
      </c>
      <c r="E11" s="374">
        <f>E8-E10</f>
        <v>254868094</v>
      </c>
    </row>
    <row r="12" spans="1:5" ht="13.8" x14ac:dyDescent="0.25">
      <c r="A12" s="175"/>
      <c r="B12" s="359"/>
      <c r="C12" s="359"/>
      <c r="D12" s="359"/>
      <c r="E12" s="359"/>
    </row>
    <row r="13" spans="1:5" ht="26.4" x14ac:dyDescent="0.25">
      <c r="A13" s="371" t="s">
        <v>691</v>
      </c>
      <c r="B13" s="372">
        <f>C13+Субсидия!G453</f>
        <v>6567762423.1599998</v>
      </c>
      <c r="C13" s="448">
        <f>'[2]Исполнение  по  субсидии'!$B$39*1000</f>
        <v>6405091218.1599998</v>
      </c>
      <c r="D13" s="448">
        <f>'[2]Исполнение  по  субсидии'!$C$39*1000</f>
        <v>1820130796.2700002</v>
      </c>
      <c r="E13" s="372">
        <f>B13-C13</f>
        <v>162671205</v>
      </c>
    </row>
    <row r="14" spans="1:5" s="370" customFormat="1" ht="13.8" x14ac:dyDescent="0.25">
      <c r="A14" s="368" t="s">
        <v>38</v>
      </c>
      <c r="B14" s="369">
        <f>B13-B15-B16-B17</f>
        <v>0</v>
      </c>
      <c r="C14" s="369">
        <f t="shared" ref="C14:E14" si="1">C13-C15-C16-C17</f>
        <v>0</v>
      </c>
      <c r="D14" s="369">
        <f t="shared" si="1"/>
        <v>0</v>
      </c>
      <c r="E14" s="369">
        <f t="shared" si="1"/>
        <v>0</v>
      </c>
    </row>
    <row r="15" spans="1:5" s="370" customFormat="1" ht="52.8" x14ac:dyDescent="0.25">
      <c r="A15" s="373" t="s">
        <v>144</v>
      </c>
      <c r="B15" s="374">
        <f>Субсидия!D454</f>
        <v>1883719042.3099999</v>
      </c>
      <c r="C15" s="374">
        <f>Субсидия!E454</f>
        <v>1767416183.3099999</v>
      </c>
      <c r="D15" s="374">
        <f>Субсидия!F454</f>
        <v>205017416.41000003</v>
      </c>
      <c r="E15" s="374">
        <f>B15-C15</f>
        <v>116302859</v>
      </c>
    </row>
    <row r="16" spans="1:5" ht="39.6" x14ac:dyDescent="0.25">
      <c r="A16" s="373" t="s">
        <v>145</v>
      </c>
      <c r="B16" s="374">
        <f>Субсидия!D455</f>
        <v>2872842679.3199997</v>
      </c>
      <c r="C16" s="374">
        <f>Субсидия!E455</f>
        <v>2826474379.3199997</v>
      </c>
      <c r="D16" s="374">
        <f>Субсидия!F455</f>
        <v>692490927.51000011</v>
      </c>
      <c r="E16" s="374">
        <f>B16-C16</f>
        <v>46368300</v>
      </c>
    </row>
    <row r="17" spans="1:5" ht="13.8" x14ac:dyDescent="0.25">
      <c r="A17" s="373" t="s">
        <v>330</v>
      </c>
      <c r="B17" s="374">
        <f>Субсидия!D456</f>
        <v>1811200701.5300002</v>
      </c>
      <c r="C17" s="374">
        <f>Субсидия!E456</f>
        <v>1811200655.5300002</v>
      </c>
      <c r="D17" s="374">
        <f>Субсидия!F456</f>
        <v>922622452.3499999</v>
      </c>
      <c r="E17" s="374">
        <f>B17-C17</f>
        <v>46</v>
      </c>
    </row>
    <row r="18" spans="1:5" ht="13.8" x14ac:dyDescent="0.25">
      <c r="A18" s="175"/>
      <c r="B18" s="359"/>
      <c r="C18" s="359"/>
      <c r="D18" s="359"/>
      <c r="E18" s="359"/>
    </row>
    <row r="19" spans="1:5" ht="26.4" x14ac:dyDescent="0.25">
      <c r="A19" s="371" t="s">
        <v>689</v>
      </c>
      <c r="B19" s="372">
        <f>C19</f>
        <v>11267783454</v>
      </c>
      <c r="C19" s="448">
        <f>'[2]Исполнение  по  субвенции'!$B$39*1000</f>
        <v>11267783454</v>
      </c>
      <c r="D19" s="448">
        <f>'[2]Исполнение  по  субвенции'!$G$39*1000</f>
        <v>6640855519.2799997</v>
      </c>
      <c r="E19" s="372">
        <f>B19-C19</f>
        <v>0</v>
      </c>
    </row>
    <row r="20" spans="1:5" s="370" customFormat="1" ht="13.8" x14ac:dyDescent="0.25">
      <c r="A20" s="368" t="s">
        <v>38</v>
      </c>
      <c r="B20" s="369"/>
      <c r="C20" s="369"/>
      <c r="D20" s="369"/>
      <c r="E20" s="369"/>
    </row>
    <row r="21" spans="1:5" s="370" customFormat="1" ht="13.8" x14ac:dyDescent="0.25">
      <c r="A21" s="368" t="s">
        <v>140</v>
      </c>
      <c r="B21" s="369">
        <f>B19</f>
        <v>11267783454</v>
      </c>
      <c r="C21" s="369">
        <f>C19</f>
        <v>11267783454</v>
      </c>
      <c r="D21" s="369">
        <f>D19</f>
        <v>6640855519.2799997</v>
      </c>
      <c r="E21" s="369">
        <f>E19</f>
        <v>0</v>
      </c>
    </row>
    <row r="22" spans="1:5" ht="13.8" x14ac:dyDescent="0.25">
      <c r="A22" s="175"/>
      <c r="B22" s="359"/>
      <c r="C22" s="359"/>
      <c r="D22" s="359"/>
      <c r="E22" s="359"/>
    </row>
    <row r="23" spans="1:5" ht="13.8" x14ac:dyDescent="0.25">
      <c r="A23" s="371" t="s">
        <v>139</v>
      </c>
      <c r="B23" s="372">
        <f>C23+'Нераспределенные  иные  МБТ'!G44</f>
        <v>1607737331.4400001</v>
      </c>
      <c r="C23" s="448">
        <f>'[2]Исполнение  по  иным  МБТ'!$B$37*1000</f>
        <v>1454752331.4400001</v>
      </c>
      <c r="D23" s="448">
        <f>'[2]Исполнение  по  иным  МБТ'!$G$37*1000</f>
        <v>193374985.08000001</v>
      </c>
      <c r="E23" s="372">
        <f>B23-C23</f>
        <v>152985000</v>
      </c>
    </row>
    <row r="24" spans="1:5" s="370" customFormat="1" ht="13.8" x14ac:dyDescent="0.25">
      <c r="A24" s="368" t="s">
        <v>38</v>
      </c>
      <c r="B24" s="369"/>
      <c r="C24" s="369"/>
      <c r="D24" s="369"/>
      <c r="E24" s="369"/>
    </row>
    <row r="25" spans="1:5" s="370" customFormat="1" ht="13.8" x14ac:dyDescent="0.25">
      <c r="A25" s="368" t="s">
        <v>141</v>
      </c>
      <c r="B25" s="369">
        <f>B23</f>
        <v>1607737331.4400001</v>
      </c>
      <c r="C25" s="369">
        <f>C23</f>
        <v>1454752331.4400001</v>
      </c>
      <c r="D25" s="369">
        <f>D23</f>
        <v>193374985.08000001</v>
      </c>
      <c r="E25" s="369">
        <f>E23</f>
        <v>152985000</v>
      </c>
    </row>
    <row r="26" spans="1:5" ht="13.8" x14ac:dyDescent="0.25">
      <c r="A26" s="175"/>
      <c r="B26" s="359"/>
      <c r="C26" s="359"/>
      <c r="D26" s="359"/>
      <c r="E26" s="359"/>
    </row>
    <row r="27" spans="1:5" ht="13.8" x14ac:dyDescent="0.25">
      <c r="A27" s="360" t="s">
        <v>136</v>
      </c>
      <c r="B27" s="362">
        <f>B8+B13+B19+B23</f>
        <v>22675098508.599998</v>
      </c>
      <c r="C27" s="362">
        <f>C8+C13+C19+C23</f>
        <v>22104574209.599998</v>
      </c>
      <c r="D27" s="362">
        <f>D8+D13+D19+D23</f>
        <v>10447797455.76</v>
      </c>
      <c r="E27" s="362">
        <f>E8+E13+E19+E23</f>
        <v>570524299</v>
      </c>
    </row>
    <row r="28" spans="1:5" s="363" customFormat="1" x14ac:dyDescent="0.25">
      <c r="C28" s="361">
        <f>C27-'План и исполнение'!B37</f>
        <v>0</v>
      </c>
      <c r="D28" s="361">
        <f>D27-'План и исполнение'!C37</f>
        <v>0</v>
      </c>
      <c r="E28" s="361">
        <f>E27-'Нераспределенная  дотация'!E21</f>
        <v>0</v>
      </c>
    </row>
  </sheetData>
  <mergeCells count="2">
    <mergeCell ref="A2:E2"/>
    <mergeCell ref="A3:E3"/>
  </mergeCells>
  <phoneticPr fontId="58" type="noConversion"/>
  <pageMargins left="0.78740157480314965" right="0.39370078740157483" top="0.78740157480314965" bottom="0.78740157480314965" header="0.51181102362204722" footer="0.51181102362204722"/>
  <pageSetup paperSize="9" scale="94" orientation="landscape" r:id="rId1"/>
  <headerFooter alignWithMargins="0">
    <oddFooter>&amp;R&amp;Z&amp;F&amp;A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vt:i4>
      </vt:variant>
      <vt:variant>
        <vt:lpstr>Именованные диапазоны</vt:lpstr>
      </vt:variant>
      <vt:variant>
        <vt:i4>22</vt:i4>
      </vt:variant>
    </vt:vector>
  </HeadingPairs>
  <TitlesOfParts>
    <vt:vector size="36" baseType="lpstr">
      <vt:lpstr>План и исполнение</vt:lpstr>
      <vt:lpstr>Прочая  субсидия_МР  и  ГО</vt:lpstr>
      <vt:lpstr>Прочая  субсидия_БП</vt:lpstr>
      <vt:lpstr>Субвенция  на  полномочия</vt:lpstr>
      <vt:lpstr>Район  и  поселения</vt:lpstr>
      <vt:lpstr>Федеральные  средства  по  МО</vt:lpstr>
      <vt:lpstr>Федеральные  средства</vt:lpstr>
      <vt:lpstr>МБТ  по  программам</vt:lpstr>
      <vt:lpstr>МБТ  по  видам  расходов</vt:lpstr>
      <vt:lpstr>Нераспределенная  дотация</vt:lpstr>
      <vt:lpstr>Субсидия</vt:lpstr>
      <vt:lpstr>Нераспределенные  иные  МБТ</vt:lpstr>
      <vt:lpstr>субсидия  ВР 522</vt:lpstr>
      <vt:lpstr>Федеральная  субсидия</vt:lpstr>
      <vt:lpstr>'Нераспределенные  иные  МБТ'!Заголовки_для_печати</vt:lpstr>
      <vt:lpstr>'План и исполнение'!Заголовки_для_печати</vt:lpstr>
      <vt:lpstr>'Прочая  субсидия_БП'!Заголовки_для_печати</vt:lpstr>
      <vt:lpstr>'Прочая  субсидия_МР  и  ГО'!Заголовки_для_печати</vt:lpstr>
      <vt:lpstr>'Район  и  поселения'!Заголовки_для_печати</vt:lpstr>
      <vt:lpstr>'Субвенция  на  полномочия'!Заголовки_для_печати</vt:lpstr>
      <vt:lpstr>Субсидия!Заголовки_для_печати</vt:lpstr>
      <vt:lpstr>'субсидия  ВР 522'!Заголовки_для_печати</vt:lpstr>
      <vt:lpstr>'Федеральная  субсидия'!Заголовки_для_печати</vt:lpstr>
      <vt:lpstr>'Федеральные  средства'!Заголовки_для_печати</vt:lpstr>
      <vt:lpstr>'Федеральные  средства  по  МО'!Заголовки_для_печати</vt:lpstr>
      <vt:lpstr>'МБТ  по  видам  расходов'!Область_печати</vt:lpstr>
      <vt:lpstr>'МБТ  по  программам'!Область_печати</vt:lpstr>
      <vt:lpstr>'Нераспределенные  иные  МБТ'!Область_печати</vt:lpstr>
      <vt:lpstr>'План и исполнение'!Область_печати</vt:lpstr>
      <vt:lpstr>'Прочая  субсидия_БП'!Область_печати</vt:lpstr>
      <vt:lpstr>'Прочая  субсидия_МР  и  ГО'!Область_печати</vt:lpstr>
      <vt:lpstr>'Район  и  поселения'!Область_печати</vt:lpstr>
      <vt:lpstr>'Субвенция  на  полномочия'!Область_печати</vt:lpstr>
      <vt:lpstr>Субсидия!Область_печати</vt:lpstr>
      <vt:lpstr>'Федеральная  субсидия'!Область_печати</vt:lpstr>
      <vt:lpstr>'Федеральные  средства  по  МО'!Область_печати</vt:lpstr>
    </vt:vector>
  </TitlesOfParts>
  <Company>2</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Кривовицина Елена Викьлровна</cp:lastModifiedBy>
  <cp:lastPrinted>2020-07-07T08:24:42Z</cp:lastPrinted>
  <dcterms:created xsi:type="dcterms:W3CDTF">2010-07-21T14:31:06Z</dcterms:created>
  <dcterms:modified xsi:type="dcterms:W3CDTF">2020-08-03T12:37:49Z</dcterms:modified>
</cp:coreProperties>
</file>